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Айман\Desktop\Закон\"/>
    </mc:Choice>
  </mc:AlternateContent>
  <xr:revisionPtr revIDLastSave="0" documentId="13_ncr:1_{1DA98170-07E0-482C-A29C-554143D47968}" xr6:coauthVersionLast="47" xr6:coauthVersionMax="47" xr10:uidLastSave="{00000000-0000-0000-0000-000000000000}"/>
  <bookViews>
    <workbookView xWindow="-108" yWindow="-108" windowWidth="23256" windowHeight="12576" tabRatio="889" activeTab="1" xr2:uid="{00000000-000D-0000-FFFF-FFFF00000000}"/>
  </bookViews>
  <sheets>
    <sheet name="Описание" sheetId="6" r:id="rId1"/>
    <sheet name="200.00 200.01" sheetId="1" r:id="rId2"/>
    <sheet name="РегистрОПВ" sheetId="2" r:id="rId3"/>
    <sheet name="регистр200.02" sheetId="10" r:id="rId4"/>
    <sheet name="регистр200.05" sheetId="9" r:id="rId5"/>
    <sheet name="РегистрИПН" sheetId="3" r:id="rId6"/>
    <sheet name="РегистрСО ОСМС" sheetId="4" r:id="rId7"/>
    <sheet name="РегистрСН" sheetId="5" r:id="rId8"/>
    <sheet name="ДоговораГПХ" sheetId="8" r:id="rId9"/>
    <sheet name="ЕП" sheetId="12" r:id="rId10"/>
    <sheet name="200.06" sheetId="11" r:id="rId11"/>
  </sheets>
  <calcPr calcId="191029"/>
</workbook>
</file>

<file path=xl/calcChain.xml><?xml version="1.0" encoding="utf-8"?>
<calcChain xmlns="http://schemas.openxmlformats.org/spreadsheetml/2006/main">
  <c r="X51" i="12" l="1"/>
  <c r="X50" i="12"/>
  <c r="X49" i="12"/>
  <c r="X48" i="12"/>
  <c r="X47" i="12"/>
  <c r="X46" i="12"/>
  <c r="X45" i="12"/>
  <c r="X44" i="12"/>
  <c r="X43" i="12"/>
  <c r="X42" i="12"/>
  <c r="X41" i="12"/>
  <c r="X39" i="12" s="1"/>
  <c r="X40" i="12"/>
  <c r="X38" i="12"/>
  <c r="X37" i="12"/>
  <c r="X36" i="12"/>
  <c r="X35" i="12"/>
  <c r="X34" i="12"/>
  <c r="X33" i="12"/>
  <c r="X32" i="12"/>
  <c r="X31" i="12"/>
  <c r="X30" i="12"/>
  <c r="X29" i="12"/>
  <c r="X28" i="12"/>
  <c r="X27" i="12"/>
  <c r="X26" i="12" s="1"/>
  <c r="X15" i="12"/>
  <c r="X16" i="12"/>
  <c r="X17" i="12"/>
  <c r="X18" i="12"/>
  <c r="X19" i="12"/>
  <c r="X20" i="12"/>
  <c r="X21" i="12"/>
  <c r="X22" i="12"/>
  <c r="X23" i="12"/>
  <c r="X24" i="12"/>
  <c r="X25" i="12"/>
  <c r="X14" i="12"/>
  <c r="X12" i="12"/>
  <c r="W11" i="12"/>
  <c r="W41" i="12" s="1"/>
  <c r="V11" i="12"/>
  <c r="Q11" i="12"/>
  <c r="P11" i="12"/>
  <c r="J12" i="12"/>
  <c r="H12" i="12"/>
  <c r="H20" i="12" s="1"/>
  <c r="S52" i="12"/>
  <c r="S51" i="12"/>
  <c r="S50" i="12"/>
  <c r="S49" i="12"/>
  <c r="S48" i="12"/>
  <c r="S47" i="12"/>
  <c r="S46" i="12"/>
  <c r="S45" i="12"/>
  <c r="S44" i="12"/>
  <c r="S43" i="12"/>
  <c r="S42" i="12"/>
  <c r="S41" i="12"/>
  <c r="S40" i="12"/>
  <c r="S38" i="12"/>
  <c r="S37" i="12"/>
  <c r="S36" i="12"/>
  <c r="S35" i="12"/>
  <c r="S34" i="12"/>
  <c r="S33" i="12"/>
  <c r="S32" i="12"/>
  <c r="S31" i="12"/>
  <c r="S30" i="12"/>
  <c r="S29" i="12"/>
  <c r="S28" i="12"/>
  <c r="S26" i="12" s="1"/>
  <c r="S27" i="12"/>
  <c r="S25" i="12"/>
  <c r="S24" i="12"/>
  <c r="S23" i="12"/>
  <c r="S22" i="12"/>
  <c r="S21" i="12"/>
  <c r="S20" i="12"/>
  <c r="S19" i="12"/>
  <c r="S18" i="12"/>
  <c r="S17" i="12"/>
  <c r="S16" i="12"/>
  <c r="S15" i="12"/>
  <c r="S14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39" i="12" s="1"/>
  <c r="M40" i="12"/>
  <c r="M38" i="12"/>
  <c r="M37" i="12"/>
  <c r="M36" i="12"/>
  <c r="M35" i="12"/>
  <c r="M34" i="12"/>
  <c r="M33" i="12"/>
  <c r="M32" i="12"/>
  <c r="M31" i="12"/>
  <c r="M30" i="12"/>
  <c r="M29" i="12"/>
  <c r="M28" i="12"/>
  <c r="M26" i="12" s="1"/>
  <c r="M27" i="12"/>
  <c r="M25" i="12"/>
  <c r="M24" i="12"/>
  <c r="M23" i="12"/>
  <c r="M22" i="12"/>
  <c r="M21" i="12"/>
  <c r="M20" i="12"/>
  <c r="M19" i="12"/>
  <c r="M17" i="12"/>
  <c r="M16" i="12"/>
  <c r="M15" i="12"/>
  <c r="M14" i="12"/>
  <c r="M18" i="12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 s="1"/>
  <c r="AD46" i="8"/>
  <c r="AD45" i="8"/>
  <c r="AD44" i="8"/>
  <c r="AD43" i="8"/>
  <c r="AD42" i="8"/>
  <c r="AD41" i="8"/>
  <c r="AD40" i="8"/>
  <c r="AD39" i="8"/>
  <c r="AF39" i="8" s="1"/>
  <c r="AG39" i="8" s="1"/>
  <c r="AD38" i="8"/>
  <c r="AD37" i="8"/>
  <c r="AD36" i="8"/>
  <c r="AD35" i="8"/>
  <c r="AD34" i="8" s="1"/>
  <c r="AD33" i="8"/>
  <c r="AD32" i="8"/>
  <c r="AD31" i="8"/>
  <c r="AD30" i="8"/>
  <c r="AD29" i="8"/>
  <c r="AD28" i="8"/>
  <c r="AD27" i="8"/>
  <c r="AD26" i="8"/>
  <c r="AD25" i="8"/>
  <c r="AD24" i="8"/>
  <c r="AD21" i="8" s="1"/>
  <c r="AD47" i="8" s="1"/>
  <c r="AD23" i="8"/>
  <c r="AD22" i="8"/>
  <c r="K195" i="1"/>
  <c r="F15" i="11"/>
  <c r="F14" i="11"/>
  <c r="F13" i="11"/>
  <c r="F12" i="11"/>
  <c r="F11" i="11"/>
  <c r="F10" i="11"/>
  <c r="L15" i="11"/>
  <c r="L14" i="11"/>
  <c r="L13" i="11"/>
  <c r="L12" i="11"/>
  <c r="L11" i="11"/>
  <c r="L10" i="11"/>
  <c r="M10" i="11" s="1"/>
  <c r="K15" i="11"/>
  <c r="K14" i="11"/>
  <c r="K13" i="11"/>
  <c r="K12" i="11"/>
  <c r="K11" i="11"/>
  <c r="K10" i="11"/>
  <c r="J15" i="11"/>
  <c r="J14" i="11"/>
  <c r="J13" i="11"/>
  <c r="J12" i="11"/>
  <c r="J11" i="11"/>
  <c r="J10" i="11"/>
  <c r="I15" i="11"/>
  <c r="I14" i="11"/>
  <c r="I13" i="11"/>
  <c r="I12" i="11"/>
  <c r="I11" i="11"/>
  <c r="I10" i="11"/>
  <c r="H15" i="11"/>
  <c r="H14" i="11"/>
  <c r="H13" i="11"/>
  <c r="H12" i="11"/>
  <c r="H11" i="11"/>
  <c r="H10" i="11"/>
  <c r="G15" i="11"/>
  <c r="G14" i="11"/>
  <c r="G13" i="11"/>
  <c r="G12" i="11"/>
  <c r="G11" i="11"/>
  <c r="G10" i="11"/>
  <c r="E15" i="11"/>
  <c r="E14" i="11"/>
  <c r="E13" i="11"/>
  <c r="E12" i="11"/>
  <c r="E11" i="11"/>
  <c r="E10" i="11"/>
  <c r="E9" i="11"/>
  <c r="E8" i="11"/>
  <c r="E7" i="11"/>
  <c r="E6" i="11"/>
  <c r="E5" i="11"/>
  <c r="E4" i="11"/>
  <c r="AD15" i="9"/>
  <c r="AD14" i="9"/>
  <c r="AD13" i="9"/>
  <c r="AD12" i="9"/>
  <c r="AD11" i="9"/>
  <c r="AD32" i="9"/>
  <c r="W49" i="12"/>
  <c r="W46" i="12"/>
  <c r="W45" i="12"/>
  <c r="W44" i="12"/>
  <c r="W43" i="12"/>
  <c r="W42" i="12"/>
  <c r="W31" i="12"/>
  <c r="W30" i="12"/>
  <c r="W29" i="12"/>
  <c r="W25" i="12"/>
  <c r="W22" i="12"/>
  <c r="W21" i="12"/>
  <c r="W20" i="12"/>
  <c r="R39" i="12"/>
  <c r="R53" i="12"/>
  <c r="R26" i="12"/>
  <c r="R13" i="12"/>
  <c r="I14" i="12"/>
  <c r="J14" i="12" s="1"/>
  <c r="J53" i="12"/>
  <c r="I53" i="12"/>
  <c r="N52" i="12"/>
  <c r="I52" i="12"/>
  <c r="J52" i="12" s="1"/>
  <c r="G52" i="12"/>
  <c r="X52" i="12" s="1"/>
  <c r="N51" i="12"/>
  <c r="I51" i="12"/>
  <c r="J51" i="12"/>
  <c r="G51" i="12"/>
  <c r="N50" i="12"/>
  <c r="I50" i="12"/>
  <c r="J50" i="12"/>
  <c r="G50" i="12"/>
  <c r="N49" i="12"/>
  <c r="O49" i="12" s="1"/>
  <c r="I49" i="12"/>
  <c r="J49" i="12" s="1"/>
  <c r="G49" i="12"/>
  <c r="N48" i="12"/>
  <c r="I48" i="12"/>
  <c r="J48" i="12" s="1"/>
  <c r="G48" i="12"/>
  <c r="N47" i="12"/>
  <c r="I47" i="12"/>
  <c r="J47" i="12" s="1"/>
  <c r="G47" i="12"/>
  <c r="N46" i="12"/>
  <c r="I46" i="12"/>
  <c r="J46" i="12" s="1"/>
  <c r="G46" i="12"/>
  <c r="N45" i="12"/>
  <c r="O45" i="12" s="1"/>
  <c r="I45" i="12"/>
  <c r="J45" i="12"/>
  <c r="G45" i="12"/>
  <c r="N44" i="12"/>
  <c r="I44" i="12"/>
  <c r="J44" i="12" s="1"/>
  <c r="G44" i="12"/>
  <c r="N43" i="12"/>
  <c r="O43" i="12" s="1"/>
  <c r="I43" i="12"/>
  <c r="J43" i="12" s="1"/>
  <c r="G43" i="12"/>
  <c r="N42" i="12"/>
  <c r="I42" i="12"/>
  <c r="J42" i="12"/>
  <c r="G42" i="12"/>
  <c r="N41" i="12"/>
  <c r="I41" i="12"/>
  <c r="J41" i="12" s="1"/>
  <c r="G41" i="12"/>
  <c r="N40" i="12"/>
  <c r="I40" i="12"/>
  <c r="J40" i="12" s="1"/>
  <c r="G40" i="12"/>
  <c r="L39" i="12"/>
  <c r="L53" i="12" s="1"/>
  <c r="F39" i="12"/>
  <c r="D39" i="12"/>
  <c r="D53" i="12" s="1"/>
  <c r="N38" i="12"/>
  <c r="I38" i="12"/>
  <c r="J38" i="12" s="1"/>
  <c r="G38" i="12"/>
  <c r="N37" i="12"/>
  <c r="I37" i="12"/>
  <c r="J37" i="12" s="1"/>
  <c r="G37" i="12"/>
  <c r="N36" i="12"/>
  <c r="I36" i="12"/>
  <c r="J36" i="12" s="1"/>
  <c r="G36" i="12"/>
  <c r="N35" i="12"/>
  <c r="I35" i="12"/>
  <c r="J35" i="12" s="1"/>
  <c r="G35" i="12"/>
  <c r="H35" i="12" s="1"/>
  <c r="N34" i="12"/>
  <c r="I34" i="12"/>
  <c r="J34" i="12" s="1"/>
  <c r="G34" i="12"/>
  <c r="N33" i="12"/>
  <c r="I33" i="12"/>
  <c r="J33" i="12" s="1"/>
  <c r="G33" i="12"/>
  <c r="N32" i="12"/>
  <c r="O32" i="12" s="1"/>
  <c r="I32" i="12"/>
  <c r="J32" i="12" s="1"/>
  <c r="G32" i="12"/>
  <c r="N31" i="12"/>
  <c r="I31" i="12"/>
  <c r="G31" i="12"/>
  <c r="H31" i="12"/>
  <c r="N30" i="12"/>
  <c r="I30" i="12"/>
  <c r="J30" i="12" s="1"/>
  <c r="G30" i="12"/>
  <c r="N29" i="12"/>
  <c r="N26" i="12" s="1"/>
  <c r="I29" i="12"/>
  <c r="G29" i="12"/>
  <c r="N28" i="12"/>
  <c r="I28" i="12"/>
  <c r="J28" i="12" s="1"/>
  <c r="G28" i="12"/>
  <c r="H28" i="12"/>
  <c r="N27" i="12"/>
  <c r="I27" i="12"/>
  <c r="J27" i="12" s="1"/>
  <c r="G27" i="12"/>
  <c r="L26" i="12"/>
  <c r="F26" i="12"/>
  <c r="D26" i="12"/>
  <c r="N25" i="12"/>
  <c r="I25" i="12"/>
  <c r="J25" i="12" s="1"/>
  <c r="G25" i="12"/>
  <c r="N24" i="12"/>
  <c r="I24" i="12"/>
  <c r="J24" i="12" s="1"/>
  <c r="G24" i="12"/>
  <c r="N23" i="12"/>
  <c r="I23" i="12"/>
  <c r="J23" i="12" s="1"/>
  <c r="G23" i="12"/>
  <c r="N22" i="12"/>
  <c r="O22" i="12" s="1"/>
  <c r="I22" i="12"/>
  <c r="J22" i="12" s="1"/>
  <c r="G22" i="12"/>
  <c r="N21" i="12"/>
  <c r="I21" i="12"/>
  <c r="G21" i="12"/>
  <c r="N20" i="12"/>
  <c r="O20" i="12" s="1"/>
  <c r="I20" i="12"/>
  <c r="J20" i="12" s="1"/>
  <c r="G20" i="12"/>
  <c r="N19" i="12"/>
  <c r="N13" i="12" s="1"/>
  <c r="I19" i="12"/>
  <c r="J19" i="12" s="1"/>
  <c r="G19" i="12"/>
  <c r="N18" i="12"/>
  <c r="I18" i="12"/>
  <c r="J18" i="12" s="1"/>
  <c r="G18" i="12"/>
  <c r="N17" i="12"/>
  <c r="I17" i="12"/>
  <c r="J17" i="12" s="1"/>
  <c r="G17" i="12"/>
  <c r="H17" i="12" s="1"/>
  <c r="N16" i="12"/>
  <c r="I16" i="12"/>
  <c r="J16" i="12"/>
  <c r="G16" i="12"/>
  <c r="N15" i="12"/>
  <c r="I15" i="12"/>
  <c r="J15" i="12"/>
  <c r="G15" i="12"/>
  <c r="N14" i="12"/>
  <c r="G14" i="12"/>
  <c r="L13" i="12"/>
  <c r="F13" i="12"/>
  <c r="D13" i="12"/>
  <c r="J5" i="12"/>
  <c r="H5" i="12"/>
  <c r="D4" i="12"/>
  <c r="C2" i="12"/>
  <c r="BB45" i="10"/>
  <c r="BB18" i="10"/>
  <c r="BB13" i="10"/>
  <c r="BB8" i="10"/>
  <c r="AE17" i="10"/>
  <c r="AE15" i="10"/>
  <c r="AE12" i="10"/>
  <c r="AF12" i="10" s="1"/>
  <c r="AE10" i="10"/>
  <c r="AE5" i="10"/>
  <c r="AE7" i="10"/>
  <c r="AF7" i="10" s="1"/>
  <c r="AH7" i="10" s="1"/>
  <c r="AJ7" i="10" s="1"/>
  <c r="AM7" i="10" s="1"/>
  <c r="H14" i="2"/>
  <c r="U37" i="10"/>
  <c r="U38" i="10"/>
  <c r="U39" i="10"/>
  <c r="U40" i="10"/>
  <c r="U41" i="10"/>
  <c r="U42" i="10"/>
  <c r="U43" i="10"/>
  <c r="U44" i="10"/>
  <c r="T37" i="10"/>
  <c r="T38" i="10"/>
  <c r="T39" i="10"/>
  <c r="T40" i="10"/>
  <c r="T41" i="10"/>
  <c r="T42" i="10"/>
  <c r="T43" i="10"/>
  <c r="T44" i="10"/>
  <c r="V8" i="10"/>
  <c r="W8" i="10"/>
  <c r="X8" i="10"/>
  <c r="V13" i="10"/>
  <c r="W13" i="10"/>
  <c r="X13" i="10"/>
  <c r="S46" i="10"/>
  <c r="V18" i="10"/>
  <c r="V19" i="10" s="1"/>
  <c r="W18" i="10"/>
  <c r="W19" i="10" s="1"/>
  <c r="X18" i="10"/>
  <c r="AA8" i="10"/>
  <c r="AB8" i="10"/>
  <c r="AA13" i="10"/>
  <c r="AB13" i="10"/>
  <c r="AA18" i="10"/>
  <c r="AB18" i="10"/>
  <c r="AG37" i="10"/>
  <c r="AG38" i="10"/>
  <c r="AG39" i="10"/>
  <c r="AG40" i="10"/>
  <c r="AG41" i="10"/>
  <c r="AG42" i="10"/>
  <c r="AG43" i="10"/>
  <c r="AG44" i="10"/>
  <c r="AF37" i="10"/>
  <c r="AF38" i="10"/>
  <c r="AF39" i="10"/>
  <c r="AF40" i="10"/>
  <c r="AF41" i="10"/>
  <c r="AF42" i="10"/>
  <c r="AF43" i="10"/>
  <c r="AH43" i="10" s="1"/>
  <c r="AJ43" i="10" s="1"/>
  <c r="AF44" i="10"/>
  <c r="AE37" i="10"/>
  <c r="AE38" i="10"/>
  <c r="AE39" i="10"/>
  <c r="AE40" i="10"/>
  <c r="AE41" i="10"/>
  <c r="AE42" i="10"/>
  <c r="AE43" i="10"/>
  <c r="AE44" i="10"/>
  <c r="AL39" i="10"/>
  <c r="AL40" i="10"/>
  <c r="AL41" i="10"/>
  <c r="AL42" i="10"/>
  <c r="AL43" i="10"/>
  <c r="AL44" i="10"/>
  <c r="AL37" i="10"/>
  <c r="AL38" i="10"/>
  <c r="AZ37" i="10"/>
  <c r="BA37" i="10" s="1"/>
  <c r="AZ38" i="10"/>
  <c r="BA38" i="10" s="1"/>
  <c r="AZ39" i="10"/>
  <c r="BA39" i="10" s="1"/>
  <c r="AZ40" i="10"/>
  <c r="BA40" i="10" s="1"/>
  <c r="AZ41" i="10"/>
  <c r="BA41" i="10" s="1"/>
  <c r="AZ42" i="10"/>
  <c r="BA42" i="10"/>
  <c r="AZ43" i="10"/>
  <c r="BA43" i="10" s="1"/>
  <c r="AZ44" i="10"/>
  <c r="BA44" i="10" s="1"/>
  <c r="AY37" i="10"/>
  <c r="AY38" i="10"/>
  <c r="AY39" i="10"/>
  <c r="AY40" i="10"/>
  <c r="AY41" i="10"/>
  <c r="AY42" i="10"/>
  <c r="AY43" i="10"/>
  <c r="AY44" i="10"/>
  <c r="AX38" i="10"/>
  <c r="AX39" i="10"/>
  <c r="AX40" i="10"/>
  <c r="AX41" i="10"/>
  <c r="AX42" i="10"/>
  <c r="AX43" i="10"/>
  <c r="AX44" i="10"/>
  <c r="AW37" i="10"/>
  <c r="AW38" i="10"/>
  <c r="AW39" i="10"/>
  <c r="AW40" i="10"/>
  <c r="AW41" i="10"/>
  <c r="AW42" i="10"/>
  <c r="AW43" i="10"/>
  <c r="AW44" i="10"/>
  <c r="AV38" i="10"/>
  <c r="AV39" i="10"/>
  <c r="AV40" i="10"/>
  <c r="AV41" i="10"/>
  <c r="AV42" i="10"/>
  <c r="AV43" i="10"/>
  <c r="AV44" i="10"/>
  <c r="AT38" i="10"/>
  <c r="AT39" i="10"/>
  <c r="AT40" i="10"/>
  <c r="AT41" i="10"/>
  <c r="AT42" i="10"/>
  <c r="AT43" i="10"/>
  <c r="AT44" i="10"/>
  <c r="AU34" i="10"/>
  <c r="AU35" i="10"/>
  <c r="AU36" i="10"/>
  <c r="AU33" i="10"/>
  <c r="AU45" i="10" s="1"/>
  <c r="AR38" i="10"/>
  <c r="AS38" i="10" s="1"/>
  <c r="AR39" i="10"/>
  <c r="AS39" i="10"/>
  <c r="AR40" i="10"/>
  <c r="AS40" i="10" s="1"/>
  <c r="AR41" i="10"/>
  <c r="AS41" i="10" s="1"/>
  <c r="AR42" i="10"/>
  <c r="AS42" i="10" s="1"/>
  <c r="AR43" i="10"/>
  <c r="AS43" i="10" s="1"/>
  <c r="AR44" i="10"/>
  <c r="AS44" i="10" s="1"/>
  <c r="AQ44" i="10"/>
  <c r="AQ38" i="10"/>
  <c r="AQ39" i="10"/>
  <c r="AQ40" i="10"/>
  <c r="AQ41" i="10"/>
  <c r="AQ42" i="10"/>
  <c r="AQ43" i="10"/>
  <c r="AM38" i="10"/>
  <c r="AM39" i="10"/>
  <c r="AM40" i="10"/>
  <c r="AM41" i="10"/>
  <c r="AM42" i="10"/>
  <c r="AM43" i="10"/>
  <c r="AM44" i="10"/>
  <c r="AI37" i="10"/>
  <c r="AI38" i="10"/>
  <c r="AI39" i="10"/>
  <c r="AI40" i="10"/>
  <c r="AI41" i="10"/>
  <c r="AI42" i="10"/>
  <c r="AI43" i="10"/>
  <c r="AI44" i="10"/>
  <c r="AB43" i="10"/>
  <c r="AB44" i="10"/>
  <c r="AB37" i="10"/>
  <c r="AB38" i="10"/>
  <c r="AB39" i="10"/>
  <c r="AB40" i="10"/>
  <c r="AB41" i="10"/>
  <c r="AB42" i="10"/>
  <c r="Z38" i="10"/>
  <c r="Z39" i="10"/>
  <c r="Z40" i="10"/>
  <c r="Z41" i="10"/>
  <c r="Z42" i="10"/>
  <c r="Z43" i="10"/>
  <c r="Z44" i="10"/>
  <c r="Y38" i="10"/>
  <c r="Y39" i="10"/>
  <c r="Y40" i="10"/>
  <c r="Y41" i="10"/>
  <c r="AO41" i="10" s="1"/>
  <c r="AP41" i="10" s="1"/>
  <c r="Y42" i="10"/>
  <c r="Y43" i="10"/>
  <c r="Y44" i="10"/>
  <c r="X37" i="10"/>
  <c r="X38" i="10"/>
  <c r="X39" i="10"/>
  <c r="X40" i="10"/>
  <c r="X41" i="10"/>
  <c r="X42" i="10"/>
  <c r="X43" i="10"/>
  <c r="X44" i="10"/>
  <c r="W37" i="10"/>
  <c r="W38" i="10"/>
  <c r="W39" i="10"/>
  <c r="W40" i="10"/>
  <c r="W41" i="10"/>
  <c r="W42" i="10"/>
  <c r="W43" i="10"/>
  <c r="W44" i="10"/>
  <c r="V37" i="10"/>
  <c r="V38" i="10"/>
  <c r="V39" i="10"/>
  <c r="V40" i="10"/>
  <c r="V41" i="10"/>
  <c r="V42" i="10"/>
  <c r="V43" i="10"/>
  <c r="V44" i="10"/>
  <c r="C36" i="10"/>
  <c r="C35" i="10"/>
  <c r="C34" i="10"/>
  <c r="C33" i="10"/>
  <c r="AY17" i="10"/>
  <c r="AZ17" i="10"/>
  <c r="BA17" i="10" s="1"/>
  <c r="AQ17" i="10"/>
  <c r="AR17" i="10"/>
  <c r="AS17" i="10" s="1"/>
  <c r="AK17" i="10"/>
  <c r="AF17" i="10"/>
  <c r="Z17" i="10"/>
  <c r="AX17" i="10" s="1"/>
  <c r="Y17" i="10"/>
  <c r="AO17" i="10" s="1"/>
  <c r="AP17" i="10" s="1"/>
  <c r="AY16" i="10"/>
  <c r="AZ16" i="10" s="1"/>
  <c r="BA16" i="10" s="1"/>
  <c r="AY15" i="10"/>
  <c r="AZ15" i="10" s="1"/>
  <c r="BA15" i="10" s="1"/>
  <c r="AQ15" i="10"/>
  <c r="AR15" i="10" s="1"/>
  <c r="AF15" i="10"/>
  <c r="Z15" i="10"/>
  <c r="AX15" i="10" s="1"/>
  <c r="Y15" i="10"/>
  <c r="AH15" i="10"/>
  <c r="AY14" i="10"/>
  <c r="AZ14" i="10"/>
  <c r="AY12" i="10"/>
  <c r="AZ12" i="10" s="1"/>
  <c r="BA12" i="10" s="1"/>
  <c r="AQ12" i="10"/>
  <c r="AR12" i="10" s="1"/>
  <c r="AS12" i="10" s="1"/>
  <c r="AK12" i="10"/>
  <c r="Z12" i="10"/>
  <c r="AX12" i="10" s="1"/>
  <c r="Y12" i="10"/>
  <c r="AV12" i="10" s="1"/>
  <c r="AY11" i="10"/>
  <c r="AZ11" i="10" s="1"/>
  <c r="AY10" i="10"/>
  <c r="AZ10" i="10"/>
  <c r="BA10" i="10"/>
  <c r="AQ10" i="10"/>
  <c r="AR10" i="10" s="1"/>
  <c r="AS10" i="10" s="1"/>
  <c r="AQ37" i="10"/>
  <c r="AF10" i="10"/>
  <c r="Z10" i="10"/>
  <c r="Z37" i="10"/>
  <c r="Y10" i="10"/>
  <c r="Y37" i="10"/>
  <c r="AY9" i="10"/>
  <c r="AZ9" i="10"/>
  <c r="BA9" i="10" s="1"/>
  <c r="AA45" i="10"/>
  <c r="AC45" i="10"/>
  <c r="AC46" i="10"/>
  <c r="AD45" i="10"/>
  <c r="AD46" i="10" s="1"/>
  <c r="AN45" i="10"/>
  <c r="Q38" i="10"/>
  <c r="Q39" i="10"/>
  <c r="Q40" i="10"/>
  <c r="Q41" i="10"/>
  <c r="R41" i="10" s="1"/>
  <c r="Q42" i="10"/>
  <c r="Q43" i="10"/>
  <c r="Q44" i="10"/>
  <c r="O37" i="10"/>
  <c r="O38" i="10"/>
  <c r="O39" i="10"/>
  <c r="R39" i="10" s="1"/>
  <c r="O40" i="10"/>
  <c r="O41" i="10"/>
  <c r="O42" i="10"/>
  <c r="O43" i="10"/>
  <c r="R43" i="10"/>
  <c r="O44" i="10"/>
  <c r="R44" i="10"/>
  <c r="B34" i="10"/>
  <c r="AL34" i="10" s="1"/>
  <c r="O34" i="10"/>
  <c r="B35" i="10"/>
  <c r="W35" i="10"/>
  <c r="B36" i="10"/>
  <c r="B33" i="10"/>
  <c r="AI33" i="10"/>
  <c r="H4" i="9"/>
  <c r="AK19" i="10"/>
  <c r="AW18" i="10"/>
  <c r="AU18" i="10"/>
  <c r="AU19" i="10" s="1"/>
  <c r="AN18" i="10"/>
  <c r="AL18" i="10"/>
  <c r="AI18" i="10"/>
  <c r="AI19" i="10"/>
  <c r="O18" i="10"/>
  <c r="AW13" i="10"/>
  <c r="AU13" i="10"/>
  <c r="AN13" i="10"/>
  <c r="AL13" i="10"/>
  <c r="AI13" i="10"/>
  <c r="O13" i="10"/>
  <c r="AG8" i="10"/>
  <c r="AI8" i="10"/>
  <c r="AL8" i="10"/>
  <c r="AN8" i="10"/>
  <c r="AN19" i="10"/>
  <c r="AN46" i="10" s="1"/>
  <c r="AU8" i="10"/>
  <c r="AW8" i="10"/>
  <c r="O8" i="10"/>
  <c r="AY7" i="10"/>
  <c r="AZ7" i="10"/>
  <c r="BA7" i="10" s="1"/>
  <c r="AQ7" i="10"/>
  <c r="AR7" i="10" s="1"/>
  <c r="AS7" i="10" s="1"/>
  <c r="AK7" i="10"/>
  <c r="Z7" i="10"/>
  <c r="AX7" i="10" s="1"/>
  <c r="Y7" i="10"/>
  <c r="AV7" i="10" s="1"/>
  <c r="AY6" i="10"/>
  <c r="AZ6" i="10"/>
  <c r="BA6" i="10" s="1"/>
  <c r="AY5" i="10"/>
  <c r="AZ5" i="10" s="1"/>
  <c r="BA5" i="10" s="1"/>
  <c r="AQ5" i="10"/>
  <c r="AR5" i="10" s="1"/>
  <c r="Z5" i="10"/>
  <c r="Y5" i="10"/>
  <c r="AV5" i="10" s="1"/>
  <c r="AY4" i="10"/>
  <c r="AZ4" i="10"/>
  <c r="E17" i="6"/>
  <c r="C21" i="5"/>
  <c r="H20" i="2"/>
  <c r="Q14" i="2"/>
  <c r="E18" i="6"/>
  <c r="I9" i="8" s="1"/>
  <c r="J9" i="8" s="1"/>
  <c r="K9" i="8" s="1"/>
  <c r="Q16" i="10"/>
  <c r="R16" i="10" s="1"/>
  <c r="Y16" i="10"/>
  <c r="U32" i="9"/>
  <c r="V32" i="9"/>
  <c r="W32" i="9"/>
  <c r="X32" i="9"/>
  <c r="Y32" i="9"/>
  <c r="Q20" i="9"/>
  <c r="Q21" i="9"/>
  <c r="Q22" i="9"/>
  <c r="Q23" i="9"/>
  <c r="Q24" i="9"/>
  <c r="Q25" i="9"/>
  <c r="Q26" i="9"/>
  <c r="Q27" i="9"/>
  <c r="Q28" i="9"/>
  <c r="Q29" i="9"/>
  <c r="Q30" i="9"/>
  <c r="H19" i="9"/>
  <c r="V11" i="9"/>
  <c r="V12" i="9"/>
  <c r="V13" i="9"/>
  <c r="V14" i="9"/>
  <c r="AA32" i="9"/>
  <c r="Z32" i="9"/>
  <c r="U11" i="9"/>
  <c r="U12" i="9"/>
  <c r="U13" i="9"/>
  <c r="U14" i="9"/>
  <c r="B21" i="3"/>
  <c r="L12" i="9"/>
  <c r="L14" i="9"/>
  <c r="K15" i="9"/>
  <c r="H9" i="9"/>
  <c r="K258" i="1"/>
  <c r="K124" i="1"/>
  <c r="D21" i="3"/>
  <c r="D22" i="3"/>
  <c r="D23" i="3"/>
  <c r="D24" i="3"/>
  <c r="D25" i="3"/>
  <c r="D26" i="3"/>
  <c r="C26" i="4"/>
  <c r="D20" i="3"/>
  <c r="R14" i="2"/>
  <c r="S14" i="2"/>
  <c r="T14" i="2" s="1"/>
  <c r="H18" i="2"/>
  <c r="H28" i="2"/>
  <c r="H41" i="2"/>
  <c r="U41" i="2"/>
  <c r="H40" i="2"/>
  <c r="U40" i="2" s="1"/>
  <c r="H27" i="2"/>
  <c r="U27" i="2" s="1"/>
  <c r="H15" i="2"/>
  <c r="U15" i="2"/>
  <c r="I15" i="2"/>
  <c r="C15" i="5"/>
  <c r="G27" i="5"/>
  <c r="G40" i="5"/>
  <c r="G54" i="5" s="1"/>
  <c r="G14" i="5"/>
  <c r="K75" i="1"/>
  <c r="T20" i="9"/>
  <c r="T21" i="9"/>
  <c r="T22" i="9"/>
  <c r="T23" i="9"/>
  <c r="T24" i="9"/>
  <c r="T25" i="9"/>
  <c r="T26" i="9"/>
  <c r="T27" i="9"/>
  <c r="T28" i="9"/>
  <c r="T29" i="9"/>
  <c r="T30" i="9"/>
  <c r="S19" i="9"/>
  <c r="S20" i="9"/>
  <c r="S21" i="9"/>
  <c r="S22" i="9"/>
  <c r="S23" i="9"/>
  <c r="S24" i="9"/>
  <c r="S25" i="9"/>
  <c r="S26" i="9"/>
  <c r="S27" i="9"/>
  <c r="S28" i="9"/>
  <c r="S29" i="9"/>
  <c r="S30" i="9"/>
  <c r="P34" i="8"/>
  <c r="Q34" i="8"/>
  <c r="Q47" i="8" s="1"/>
  <c r="P21" i="8"/>
  <c r="Q21" i="8"/>
  <c r="P8" i="8"/>
  <c r="Q8" i="8"/>
  <c r="N20" i="9"/>
  <c r="N21" i="9"/>
  <c r="N22" i="9"/>
  <c r="N23" i="9"/>
  <c r="N24" i="9"/>
  <c r="N25" i="9"/>
  <c r="N26" i="9"/>
  <c r="N27" i="9"/>
  <c r="N32" i="9" s="1"/>
  <c r="N33" i="9" s="1"/>
  <c r="N28" i="9"/>
  <c r="N29" i="9"/>
  <c r="N30" i="9"/>
  <c r="N19" i="9"/>
  <c r="L20" i="9"/>
  <c r="L21" i="9"/>
  <c r="L22" i="9"/>
  <c r="L23" i="9"/>
  <c r="L24" i="9"/>
  <c r="L25" i="9"/>
  <c r="L26" i="9"/>
  <c r="L27" i="9"/>
  <c r="L28" i="9"/>
  <c r="L29" i="9"/>
  <c r="L30" i="9"/>
  <c r="K20" i="9"/>
  <c r="K21" i="9"/>
  <c r="K22" i="9"/>
  <c r="K23" i="9"/>
  <c r="K24" i="9"/>
  <c r="K25" i="9"/>
  <c r="K26" i="9"/>
  <c r="K27" i="9"/>
  <c r="K28" i="9"/>
  <c r="K29" i="9"/>
  <c r="K30" i="9"/>
  <c r="P32" i="9"/>
  <c r="AB32" i="9"/>
  <c r="AC32" i="9"/>
  <c r="J20" i="9"/>
  <c r="J21" i="9"/>
  <c r="J22" i="9"/>
  <c r="J23" i="9"/>
  <c r="J24" i="9"/>
  <c r="J25" i="9"/>
  <c r="J26" i="9"/>
  <c r="J27" i="9"/>
  <c r="J28" i="9"/>
  <c r="J29" i="9"/>
  <c r="J30" i="9"/>
  <c r="J19" i="9"/>
  <c r="H20" i="9"/>
  <c r="H21" i="9"/>
  <c r="H22" i="9"/>
  <c r="H23" i="9"/>
  <c r="H24" i="9"/>
  <c r="H25" i="9"/>
  <c r="H26" i="9"/>
  <c r="H27" i="9"/>
  <c r="H28" i="9"/>
  <c r="H29" i="9"/>
  <c r="H30" i="9"/>
  <c r="AB16" i="9"/>
  <c r="B15" i="3"/>
  <c r="B47" i="3"/>
  <c r="B47" i="4" s="1"/>
  <c r="B47" i="5" s="1"/>
  <c r="E47" i="5" s="1"/>
  <c r="B48" i="3"/>
  <c r="K27" i="3"/>
  <c r="P16" i="9"/>
  <c r="P34" i="9"/>
  <c r="H8" i="9"/>
  <c r="AE46" i="8"/>
  <c r="AE45" i="8"/>
  <c r="AE44" i="8"/>
  <c r="AF44" i="8" s="1"/>
  <c r="AG44" i="8" s="1"/>
  <c r="AE43" i="8"/>
  <c r="AF43" i="8" s="1"/>
  <c r="AG43" i="8" s="1"/>
  <c r="AE42" i="8"/>
  <c r="AE41" i="8"/>
  <c r="AF41" i="8"/>
  <c r="AG41" i="8"/>
  <c r="AE40" i="8"/>
  <c r="AF40" i="8" s="1"/>
  <c r="AG40" i="8" s="1"/>
  <c r="AE39" i="8"/>
  <c r="AE38" i="8"/>
  <c r="AE37" i="8"/>
  <c r="AF37" i="8" s="1"/>
  <c r="AG37" i="8" s="1"/>
  <c r="AE36" i="8"/>
  <c r="AE35" i="8"/>
  <c r="AE33" i="8"/>
  <c r="AE32" i="8"/>
  <c r="AF32" i="8" s="1"/>
  <c r="AG32" i="8" s="1"/>
  <c r="AE31" i="8"/>
  <c r="AE30" i="8"/>
  <c r="AF30" i="8" s="1"/>
  <c r="AG30" i="8" s="1"/>
  <c r="AE29" i="8"/>
  <c r="AE28" i="8"/>
  <c r="AF28" i="8"/>
  <c r="AG28" i="8" s="1"/>
  <c r="AE27" i="8"/>
  <c r="AE26" i="8"/>
  <c r="AE25" i="8"/>
  <c r="AF25" i="8" s="1"/>
  <c r="AG25" i="8" s="1"/>
  <c r="AE24" i="8"/>
  <c r="AF24" i="8"/>
  <c r="AG24" i="8" s="1"/>
  <c r="AE23" i="8"/>
  <c r="AE22" i="8"/>
  <c r="AE10" i="8"/>
  <c r="AE11" i="8"/>
  <c r="AF11" i="8" s="1"/>
  <c r="AG11" i="8" s="1"/>
  <c r="AE12" i="8"/>
  <c r="AE13" i="8"/>
  <c r="AF13" i="8"/>
  <c r="AG13" i="8" s="1"/>
  <c r="AE14" i="8"/>
  <c r="AF14" i="8" s="1"/>
  <c r="AG14" i="8" s="1"/>
  <c r="AE15" i="8"/>
  <c r="AF15" i="8"/>
  <c r="AG15" i="8" s="1"/>
  <c r="AE16" i="8"/>
  <c r="AE17" i="8"/>
  <c r="AE18" i="8"/>
  <c r="AF18" i="8" s="1"/>
  <c r="AG18" i="8" s="1"/>
  <c r="AE19" i="8"/>
  <c r="AE20" i="8"/>
  <c r="AF20" i="8" s="1"/>
  <c r="AG20" i="8" s="1"/>
  <c r="AE9" i="8"/>
  <c r="AE8" i="8" s="1"/>
  <c r="AC34" i="8"/>
  <c r="AC21" i="8"/>
  <c r="AC8" i="8"/>
  <c r="AC47" i="8" s="1"/>
  <c r="R52" i="2"/>
  <c r="R51" i="2"/>
  <c r="S51" i="2" s="1"/>
  <c r="T51" i="2" s="1"/>
  <c r="H52" i="3" s="1"/>
  <c r="R50" i="2"/>
  <c r="R49" i="2"/>
  <c r="R48" i="2"/>
  <c r="R39" i="2" s="1"/>
  <c r="R47" i="2"/>
  <c r="R46" i="2"/>
  <c r="R45" i="2"/>
  <c r="R44" i="2"/>
  <c r="S44" i="2" s="1"/>
  <c r="R43" i="2"/>
  <c r="R42" i="2"/>
  <c r="R41" i="2"/>
  <c r="R40" i="2"/>
  <c r="S40" i="2" s="1"/>
  <c r="T40" i="2" s="1"/>
  <c r="H41" i="3" s="1"/>
  <c r="R38" i="2"/>
  <c r="R37" i="2"/>
  <c r="R36" i="2"/>
  <c r="S36" i="2" s="1"/>
  <c r="T36" i="2" s="1"/>
  <c r="H37" i="3" s="1"/>
  <c r="R35" i="2"/>
  <c r="R26" i="2" s="1"/>
  <c r="R34" i="2"/>
  <c r="R33" i="2"/>
  <c r="R32" i="2"/>
  <c r="R31" i="2"/>
  <c r="S31" i="2" s="1"/>
  <c r="T31" i="2" s="1"/>
  <c r="R30" i="2"/>
  <c r="R29" i="2"/>
  <c r="R28" i="2"/>
  <c r="R27" i="2"/>
  <c r="S27" i="2" s="1"/>
  <c r="T27" i="2" s="1"/>
  <c r="R15" i="2"/>
  <c r="R16" i="2"/>
  <c r="R17" i="2"/>
  <c r="R13" i="2" s="1"/>
  <c r="R18" i="2"/>
  <c r="S18" i="2" s="1"/>
  <c r="T18" i="2" s="1"/>
  <c r="R19" i="2"/>
  <c r="R20" i="2"/>
  <c r="R21" i="2"/>
  <c r="R22" i="2"/>
  <c r="R23" i="2"/>
  <c r="R24" i="2"/>
  <c r="S24" i="2" s="1"/>
  <c r="T24" i="2" s="1"/>
  <c r="H25" i="3" s="1"/>
  <c r="R25" i="2"/>
  <c r="Q52" i="2"/>
  <c r="S52" i="2" s="1"/>
  <c r="T52" i="2" s="1"/>
  <c r="H53" i="3" s="1"/>
  <c r="Q51" i="2"/>
  <c r="Q50" i="2"/>
  <c r="S50" i="2" s="1"/>
  <c r="T50" i="2" s="1"/>
  <c r="H51" i="3" s="1"/>
  <c r="Q49" i="2"/>
  <c r="S49" i="2" s="1"/>
  <c r="T49" i="2" s="1"/>
  <c r="H50" i="3" s="1"/>
  <c r="Q48" i="2"/>
  <c r="S48" i="2" s="1"/>
  <c r="T48" i="2" s="1"/>
  <c r="H49" i="3" s="1"/>
  <c r="Q47" i="2"/>
  <c r="S47" i="2" s="1"/>
  <c r="T47" i="2" s="1"/>
  <c r="H48" i="3" s="1"/>
  <c r="Q46" i="2"/>
  <c r="S46" i="2" s="1"/>
  <c r="T46" i="2" s="1"/>
  <c r="Q45" i="2"/>
  <c r="Q44" i="2"/>
  <c r="Q43" i="2"/>
  <c r="Q42" i="2"/>
  <c r="Q41" i="2"/>
  <c r="Q40" i="2"/>
  <c r="Q38" i="2"/>
  <c r="S38" i="2" s="1"/>
  <c r="T38" i="2" s="1"/>
  <c r="H39" i="3" s="1"/>
  <c r="Q37" i="2"/>
  <c r="Q36" i="2"/>
  <c r="Q35" i="2"/>
  <c r="Q34" i="2"/>
  <c r="Q33" i="2"/>
  <c r="Q32" i="2"/>
  <c r="Q31" i="2"/>
  <c r="Q30" i="2"/>
  <c r="S30" i="2" s="1"/>
  <c r="T30" i="2" s="1"/>
  <c r="E31" i="5" s="1"/>
  <c r="Q29" i="2"/>
  <c r="Q28" i="2"/>
  <c r="Q27" i="2"/>
  <c r="Q15" i="2"/>
  <c r="Q16" i="2"/>
  <c r="Q17" i="2"/>
  <c r="Q18" i="2"/>
  <c r="Q19" i="2"/>
  <c r="S19" i="2" s="1"/>
  <c r="T19" i="2" s="1"/>
  <c r="Q20" i="2"/>
  <c r="Q21" i="2"/>
  <c r="Q22" i="2"/>
  <c r="Q23" i="2"/>
  <c r="S23" i="2" s="1"/>
  <c r="T23" i="2" s="1"/>
  <c r="H24" i="3" s="1"/>
  <c r="Q24" i="2"/>
  <c r="Q25" i="2"/>
  <c r="P39" i="2"/>
  <c r="P53" i="2"/>
  <c r="P26" i="2"/>
  <c r="P13" i="2"/>
  <c r="X46" i="8"/>
  <c r="L46" i="8" s="1"/>
  <c r="X45" i="8"/>
  <c r="L45" i="8"/>
  <c r="X44" i="8"/>
  <c r="L44" i="8"/>
  <c r="X43" i="8"/>
  <c r="L43" i="8" s="1"/>
  <c r="X42" i="8"/>
  <c r="L42" i="8"/>
  <c r="X41" i="8"/>
  <c r="L41" i="8" s="1"/>
  <c r="X40" i="8"/>
  <c r="X39" i="8"/>
  <c r="L39" i="8" s="1"/>
  <c r="X38" i="8"/>
  <c r="L38" i="8" s="1"/>
  <c r="X37" i="8"/>
  <c r="L37" i="8"/>
  <c r="X36" i="8"/>
  <c r="L36" i="8" s="1"/>
  <c r="X35" i="8"/>
  <c r="L35" i="8" s="1"/>
  <c r="X33" i="8"/>
  <c r="L33" i="8"/>
  <c r="X32" i="8"/>
  <c r="L32" i="8" s="1"/>
  <c r="X31" i="8"/>
  <c r="L31" i="8" s="1"/>
  <c r="X30" i="8"/>
  <c r="L30" i="8" s="1"/>
  <c r="X29" i="8"/>
  <c r="L29" i="8" s="1"/>
  <c r="X28" i="8"/>
  <c r="L28" i="8"/>
  <c r="X27" i="8"/>
  <c r="L27" i="8"/>
  <c r="X26" i="8"/>
  <c r="L26" i="8" s="1"/>
  <c r="X25" i="8"/>
  <c r="L25" i="8"/>
  <c r="X24" i="8"/>
  <c r="L24" i="8" s="1"/>
  <c r="X23" i="8"/>
  <c r="L23" i="8" s="1"/>
  <c r="X20" i="8"/>
  <c r="L20" i="8" s="1"/>
  <c r="X19" i="8"/>
  <c r="L19" i="8" s="1"/>
  <c r="X18" i="8"/>
  <c r="L18" i="8"/>
  <c r="X17" i="8"/>
  <c r="L17" i="8" s="1"/>
  <c r="X16" i="8"/>
  <c r="L16" i="8" s="1"/>
  <c r="X15" i="8"/>
  <c r="L15" i="8"/>
  <c r="X14" i="8"/>
  <c r="L14" i="8" s="1"/>
  <c r="X13" i="8"/>
  <c r="L13" i="8" s="1"/>
  <c r="X12" i="8"/>
  <c r="L12" i="8" s="1"/>
  <c r="X11" i="8"/>
  <c r="L11" i="8"/>
  <c r="X10" i="8"/>
  <c r="L10" i="8" s="1"/>
  <c r="N34" i="8"/>
  <c r="N21" i="8"/>
  <c r="N8" i="8"/>
  <c r="I47" i="8"/>
  <c r="G46" i="8"/>
  <c r="H46" i="8"/>
  <c r="G45" i="8"/>
  <c r="H45" i="8"/>
  <c r="G44" i="8"/>
  <c r="H44" i="8" s="1"/>
  <c r="G43" i="8"/>
  <c r="H43" i="8" s="1"/>
  <c r="G42" i="8"/>
  <c r="H42" i="8"/>
  <c r="G41" i="8"/>
  <c r="H41" i="8" s="1"/>
  <c r="G40" i="8"/>
  <c r="H40" i="8"/>
  <c r="G39" i="8"/>
  <c r="H39" i="8"/>
  <c r="G38" i="8"/>
  <c r="G34" i="8" s="1"/>
  <c r="G37" i="8"/>
  <c r="H37" i="8" s="1"/>
  <c r="G36" i="8"/>
  <c r="G35" i="8"/>
  <c r="H35" i="8"/>
  <c r="G33" i="8"/>
  <c r="H33" i="8" s="1"/>
  <c r="G32" i="8"/>
  <c r="H32" i="8" s="1"/>
  <c r="G31" i="8"/>
  <c r="H31" i="8"/>
  <c r="G30" i="8"/>
  <c r="H30" i="8" s="1"/>
  <c r="G29" i="8"/>
  <c r="H29" i="8"/>
  <c r="G28" i="8"/>
  <c r="H28" i="8"/>
  <c r="G27" i="8"/>
  <c r="H27" i="8" s="1"/>
  <c r="G26" i="8"/>
  <c r="G25" i="8"/>
  <c r="H25" i="8"/>
  <c r="G24" i="8"/>
  <c r="H24" i="8"/>
  <c r="G23" i="8"/>
  <c r="H23" i="8" s="1"/>
  <c r="G22" i="8"/>
  <c r="H22" i="8"/>
  <c r="G20" i="8"/>
  <c r="H20" i="8" s="1"/>
  <c r="G19" i="8"/>
  <c r="H19" i="8"/>
  <c r="G18" i="8"/>
  <c r="H18" i="8"/>
  <c r="G17" i="8"/>
  <c r="H17" i="8"/>
  <c r="G16" i="8"/>
  <c r="H16" i="8" s="1"/>
  <c r="G15" i="8"/>
  <c r="H15" i="8"/>
  <c r="G14" i="8"/>
  <c r="H14" i="8" s="1"/>
  <c r="G13" i="8"/>
  <c r="H13" i="8" s="1"/>
  <c r="G12" i="8"/>
  <c r="H12" i="8" s="1"/>
  <c r="G11" i="8"/>
  <c r="H11" i="8"/>
  <c r="G10" i="8"/>
  <c r="H10" i="8"/>
  <c r="G9" i="8"/>
  <c r="H9" i="8"/>
  <c r="F34" i="8"/>
  <c r="E34" i="8"/>
  <c r="E47" i="8" s="1"/>
  <c r="F21" i="8"/>
  <c r="E21" i="8"/>
  <c r="Y8" i="8"/>
  <c r="Y21" i="8"/>
  <c r="Y34" i="8"/>
  <c r="Y47" i="8" s="1"/>
  <c r="P14" i="3"/>
  <c r="P54" i="3" s="1"/>
  <c r="K166" i="1" s="1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39" i="4"/>
  <c r="G38" i="4"/>
  <c r="G37" i="4"/>
  <c r="G36" i="4"/>
  <c r="G35" i="4"/>
  <c r="G34" i="4"/>
  <c r="G33" i="4"/>
  <c r="G32" i="4"/>
  <c r="G31" i="4"/>
  <c r="G30" i="4"/>
  <c r="G29" i="4"/>
  <c r="G28" i="4"/>
  <c r="G16" i="4"/>
  <c r="G17" i="4"/>
  <c r="G18" i="4"/>
  <c r="G19" i="4"/>
  <c r="G20" i="4"/>
  <c r="G21" i="4"/>
  <c r="G22" i="4"/>
  <c r="G23" i="4"/>
  <c r="G24" i="4"/>
  <c r="G25" i="4"/>
  <c r="G26" i="4"/>
  <c r="G15" i="4"/>
  <c r="E20" i="6"/>
  <c r="E21" i="6" s="1"/>
  <c r="E22" i="6"/>
  <c r="T4" i="10" s="1"/>
  <c r="J5" i="2"/>
  <c r="J52" i="2"/>
  <c r="K52" i="2" s="1"/>
  <c r="J51" i="2"/>
  <c r="K51" i="2" s="1"/>
  <c r="L51" i="2" s="1"/>
  <c r="N51" i="2" s="1"/>
  <c r="J50" i="2"/>
  <c r="K50" i="2" s="1"/>
  <c r="L50" i="2" s="1"/>
  <c r="E51" i="4" s="1"/>
  <c r="J49" i="2"/>
  <c r="K49" i="2"/>
  <c r="J48" i="2"/>
  <c r="K48" i="2"/>
  <c r="J47" i="2"/>
  <c r="K47" i="2" s="1"/>
  <c r="J46" i="2"/>
  <c r="K46" i="2"/>
  <c r="J45" i="2"/>
  <c r="K45" i="2" s="1"/>
  <c r="J44" i="2"/>
  <c r="K44" i="2"/>
  <c r="J43" i="2"/>
  <c r="K43" i="2" s="1"/>
  <c r="J42" i="2"/>
  <c r="K42" i="2" s="1"/>
  <c r="L42" i="2" s="1"/>
  <c r="J41" i="2"/>
  <c r="K41" i="2"/>
  <c r="J40" i="2"/>
  <c r="K40" i="2" s="1"/>
  <c r="J28" i="2"/>
  <c r="K28" i="2"/>
  <c r="L28" i="2" s="1"/>
  <c r="J29" i="2"/>
  <c r="K29" i="2" s="1"/>
  <c r="J30" i="2"/>
  <c r="K30" i="2" s="1"/>
  <c r="J31" i="2"/>
  <c r="K31" i="2" s="1"/>
  <c r="L31" i="2" s="1"/>
  <c r="G32" i="3" s="1"/>
  <c r="J32" i="2"/>
  <c r="K32" i="2" s="1"/>
  <c r="J33" i="2"/>
  <c r="K33" i="2" s="1"/>
  <c r="L33" i="2" s="1"/>
  <c r="J34" i="2"/>
  <c r="K34" i="2" s="1"/>
  <c r="J35" i="2"/>
  <c r="K35" i="2"/>
  <c r="L35" i="2" s="1"/>
  <c r="E36" i="4" s="1"/>
  <c r="F36" i="4" s="1"/>
  <c r="H36" i="4" s="1"/>
  <c r="I36" i="4" s="1"/>
  <c r="J36" i="5" s="1"/>
  <c r="J36" i="2"/>
  <c r="K36" i="2" s="1"/>
  <c r="J37" i="2"/>
  <c r="K37" i="2" s="1"/>
  <c r="J38" i="2"/>
  <c r="K38" i="2" s="1"/>
  <c r="J27" i="2"/>
  <c r="K27" i="2"/>
  <c r="J15" i="2"/>
  <c r="K15" i="2" s="1"/>
  <c r="L15" i="2" s="1"/>
  <c r="J16" i="2"/>
  <c r="K16" i="2" s="1"/>
  <c r="J17" i="2"/>
  <c r="K17" i="2" s="1"/>
  <c r="L17" i="2" s="1"/>
  <c r="J18" i="2"/>
  <c r="K18" i="2"/>
  <c r="L18" i="2" s="1"/>
  <c r="D19" i="5" s="1"/>
  <c r="J19" i="2"/>
  <c r="K19" i="2" s="1"/>
  <c r="J20" i="2"/>
  <c r="K20" i="2" s="1"/>
  <c r="L20" i="2" s="1"/>
  <c r="D21" i="5" s="1"/>
  <c r="H21" i="5" s="1"/>
  <c r="I21" i="5" s="1"/>
  <c r="J21" i="2"/>
  <c r="K21" i="2"/>
  <c r="J22" i="2"/>
  <c r="K22" i="2"/>
  <c r="L22" i="2" s="1"/>
  <c r="E23" i="4" s="1"/>
  <c r="J23" i="2"/>
  <c r="K23" i="2"/>
  <c r="J24" i="2"/>
  <c r="K24" i="2" s="1"/>
  <c r="J25" i="2"/>
  <c r="K25" i="2" s="1"/>
  <c r="L25" i="2" s="1"/>
  <c r="J14" i="2"/>
  <c r="K14" i="2" s="1"/>
  <c r="K106" i="1"/>
  <c r="D4" i="5"/>
  <c r="K5" i="5"/>
  <c r="C5" i="5"/>
  <c r="C2" i="5"/>
  <c r="I5" i="4"/>
  <c r="G5" i="4"/>
  <c r="D4" i="4"/>
  <c r="C2" i="4"/>
  <c r="F7" i="3"/>
  <c r="C7" i="3"/>
  <c r="C4" i="3"/>
  <c r="H5" i="2"/>
  <c r="D4" i="2"/>
  <c r="C2" i="2"/>
  <c r="K232" i="1"/>
  <c r="H52" i="2"/>
  <c r="H51" i="2"/>
  <c r="U51" i="2" s="1"/>
  <c r="I51" i="2"/>
  <c r="H50" i="2"/>
  <c r="U50" i="2" s="1"/>
  <c r="I50" i="2"/>
  <c r="H49" i="2"/>
  <c r="H48" i="2"/>
  <c r="H47" i="2"/>
  <c r="U47" i="2" s="1"/>
  <c r="I47" i="2"/>
  <c r="H46" i="2"/>
  <c r="U46" i="2" s="1"/>
  <c r="I46" i="2"/>
  <c r="H45" i="2"/>
  <c r="I45" i="2" s="1"/>
  <c r="H44" i="2"/>
  <c r="U44" i="2" s="1"/>
  <c r="H43" i="2"/>
  <c r="U43" i="2" s="1"/>
  <c r="H42" i="2"/>
  <c r="U42" i="2"/>
  <c r="I40" i="2"/>
  <c r="G39" i="2"/>
  <c r="E39" i="2"/>
  <c r="D39" i="2"/>
  <c r="H38" i="2"/>
  <c r="U38" i="2" s="1"/>
  <c r="I38" i="2"/>
  <c r="H37" i="2"/>
  <c r="H36" i="2"/>
  <c r="H35" i="2"/>
  <c r="U35" i="2" s="1"/>
  <c r="I35" i="2"/>
  <c r="H34" i="2"/>
  <c r="U34" i="2" s="1"/>
  <c r="H33" i="2"/>
  <c r="H32" i="2"/>
  <c r="H31" i="2"/>
  <c r="U31" i="2" s="1"/>
  <c r="I31" i="2"/>
  <c r="H30" i="2"/>
  <c r="H29" i="2"/>
  <c r="U29" i="2"/>
  <c r="I28" i="2"/>
  <c r="G26" i="2"/>
  <c r="E26" i="2"/>
  <c r="D26" i="2"/>
  <c r="H25" i="2"/>
  <c r="U25" i="2" s="1"/>
  <c r="I25" i="2"/>
  <c r="H24" i="2"/>
  <c r="H23" i="2"/>
  <c r="H22" i="2"/>
  <c r="U22" i="2" s="1"/>
  <c r="I22" i="2"/>
  <c r="H21" i="2"/>
  <c r="U21" i="2" s="1"/>
  <c r="H19" i="2"/>
  <c r="H17" i="2"/>
  <c r="U17" i="2" s="1"/>
  <c r="I17" i="2"/>
  <c r="H16" i="2"/>
  <c r="U16" i="2" s="1"/>
  <c r="G13" i="2"/>
  <c r="E13" i="2"/>
  <c r="D13" i="2"/>
  <c r="D53" i="2"/>
  <c r="U34" i="8"/>
  <c r="U21" i="8"/>
  <c r="U8" i="8"/>
  <c r="U47" i="8"/>
  <c r="V21" i="8"/>
  <c r="V34" i="8"/>
  <c r="V8" i="8"/>
  <c r="R21" i="8"/>
  <c r="D8" i="8"/>
  <c r="R8" i="8"/>
  <c r="R34" i="8"/>
  <c r="D34" i="8"/>
  <c r="D21" i="8"/>
  <c r="J40" i="4"/>
  <c r="J27" i="4"/>
  <c r="J14" i="4"/>
  <c r="C16" i="5"/>
  <c r="C17" i="5"/>
  <c r="C18" i="5"/>
  <c r="C19" i="5"/>
  <c r="C20" i="5"/>
  <c r="C22" i="5"/>
  <c r="C23" i="5"/>
  <c r="C24" i="5"/>
  <c r="C25" i="5"/>
  <c r="C26" i="5"/>
  <c r="C28" i="5"/>
  <c r="C29" i="5"/>
  <c r="C30" i="5"/>
  <c r="C31" i="5"/>
  <c r="C32" i="5"/>
  <c r="C33" i="5"/>
  <c r="C34" i="5"/>
  <c r="C35" i="5"/>
  <c r="C36" i="5"/>
  <c r="C37" i="5"/>
  <c r="C38" i="5"/>
  <c r="C39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K200" i="1"/>
  <c r="D15" i="3"/>
  <c r="D16" i="3"/>
  <c r="D17" i="3"/>
  <c r="C17" i="4" s="1"/>
  <c r="D14" i="4"/>
  <c r="D27" i="4"/>
  <c r="D40" i="4"/>
  <c r="D54" i="4" s="1"/>
  <c r="F40" i="3"/>
  <c r="D42" i="3"/>
  <c r="D43" i="3"/>
  <c r="D44" i="3"/>
  <c r="C44" i="4"/>
  <c r="D45" i="3"/>
  <c r="D46" i="3"/>
  <c r="D47" i="3"/>
  <c r="D48" i="3"/>
  <c r="D49" i="3"/>
  <c r="D50" i="3"/>
  <c r="D51" i="3"/>
  <c r="C51" i="4" s="1"/>
  <c r="D52" i="3"/>
  <c r="C52" i="4"/>
  <c r="D53" i="3"/>
  <c r="O53" i="3" s="1"/>
  <c r="M52" i="2" s="1"/>
  <c r="D41" i="3"/>
  <c r="D40" i="3" s="1"/>
  <c r="B42" i="3"/>
  <c r="B42" i="4"/>
  <c r="B42" i="5"/>
  <c r="B43" i="3"/>
  <c r="B43" i="4" s="1"/>
  <c r="B43" i="5" s="1"/>
  <c r="B44" i="3"/>
  <c r="B44" i="4"/>
  <c r="B44" i="5"/>
  <c r="B45" i="3"/>
  <c r="B45" i="4" s="1"/>
  <c r="B45" i="5" s="1"/>
  <c r="B46" i="3"/>
  <c r="B46" i="4"/>
  <c r="B46" i="5"/>
  <c r="B48" i="4"/>
  <c r="B48" i="5" s="1"/>
  <c r="E48" i="5"/>
  <c r="B49" i="3"/>
  <c r="B49" i="4"/>
  <c r="B49" i="5"/>
  <c r="E49" i="5" s="1"/>
  <c r="B50" i="3"/>
  <c r="B50" i="4"/>
  <c r="B50" i="5" s="1"/>
  <c r="E50" i="5" s="1"/>
  <c r="B51" i="3"/>
  <c r="B51" i="4" s="1"/>
  <c r="B51" i="5" s="1"/>
  <c r="E51" i="5" s="1"/>
  <c r="B52" i="3"/>
  <c r="B52" i="4" s="1"/>
  <c r="B52" i="5" s="1"/>
  <c r="E52" i="5" s="1"/>
  <c r="B53" i="3"/>
  <c r="B53" i="4" s="1"/>
  <c r="B53" i="5" s="1"/>
  <c r="E53" i="5" s="1"/>
  <c r="B41" i="3"/>
  <c r="B41" i="4" s="1"/>
  <c r="B41" i="5" s="1"/>
  <c r="D28" i="3"/>
  <c r="C28" i="4" s="1"/>
  <c r="D39" i="3"/>
  <c r="D38" i="3"/>
  <c r="O38" i="3" s="1"/>
  <c r="M37" i="2" s="1"/>
  <c r="C38" i="4"/>
  <c r="D37" i="3"/>
  <c r="D36" i="3"/>
  <c r="C36" i="4"/>
  <c r="D35" i="3"/>
  <c r="D34" i="3"/>
  <c r="D33" i="3"/>
  <c r="D32" i="3"/>
  <c r="C32" i="4" s="1"/>
  <c r="D31" i="3"/>
  <c r="D30" i="3"/>
  <c r="C30" i="4" s="1"/>
  <c r="D29" i="3"/>
  <c r="B39" i="3"/>
  <c r="B39" i="4" s="1"/>
  <c r="B39" i="5" s="1"/>
  <c r="E39" i="5"/>
  <c r="B38" i="3"/>
  <c r="B38" i="4" s="1"/>
  <c r="B38" i="5" s="1"/>
  <c r="E38" i="5" s="1"/>
  <c r="B37" i="3"/>
  <c r="B37" i="4"/>
  <c r="B37" i="5" s="1"/>
  <c r="E37" i="5" s="1"/>
  <c r="B36" i="3"/>
  <c r="B36" i="4"/>
  <c r="B36" i="5" s="1"/>
  <c r="E36" i="5" s="1"/>
  <c r="B35" i="3"/>
  <c r="B35" i="4" s="1"/>
  <c r="B35" i="5" s="1"/>
  <c r="E35" i="5" s="1"/>
  <c r="B34" i="3"/>
  <c r="B34" i="4"/>
  <c r="B34" i="5" s="1"/>
  <c r="E34" i="5" s="1"/>
  <c r="B33" i="3"/>
  <c r="B33" i="4" s="1"/>
  <c r="B33" i="5" s="1"/>
  <c r="B32" i="3"/>
  <c r="B32" i="4" s="1"/>
  <c r="B32" i="5"/>
  <c r="B31" i="3"/>
  <c r="B31" i="4" s="1"/>
  <c r="B31" i="5" s="1"/>
  <c r="B30" i="3"/>
  <c r="B30" i="4" s="1"/>
  <c r="B30" i="5" s="1"/>
  <c r="B29" i="3"/>
  <c r="B29" i="4" s="1"/>
  <c r="B29" i="5" s="1"/>
  <c r="B28" i="3"/>
  <c r="B28" i="4" s="1"/>
  <c r="B28" i="5" s="1"/>
  <c r="B16" i="3"/>
  <c r="B17" i="3"/>
  <c r="B18" i="3"/>
  <c r="B19" i="3"/>
  <c r="B20" i="3"/>
  <c r="B20" i="4" s="1"/>
  <c r="B22" i="3"/>
  <c r="B22" i="4" s="1"/>
  <c r="B22" i="5" s="1"/>
  <c r="E22" i="5" s="1"/>
  <c r="B23" i="3"/>
  <c r="B23" i="4" s="1"/>
  <c r="B23" i="5"/>
  <c r="E23" i="5" s="1"/>
  <c r="B24" i="3"/>
  <c r="B24" i="4" s="1"/>
  <c r="B24" i="5" s="1"/>
  <c r="E24" i="5" s="1"/>
  <c r="B25" i="3"/>
  <c r="B26" i="3"/>
  <c r="B26" i="4" s="1"/>
  <c r="B26" i="5" s="1"/>
  <c r="E26" i="5" s="1"/>
  <c r="O26" i="3"/>
  <c r="M25" i="2" s="1"/>
  <c r="D18" i="3"/>
  <c r="C18" i="4"/>
  <c r="D19" i="3"/>
  <c r="C19" i="4" s="1"/>
  <c r="C22" i="4"/>
  <c r="K190" i="1"/>
  <c r="E40" i="3"/>
  <c r="E54" i="3" s="1"/>
  <c r="F27" i="3"/>
  <c r="E27" i="3"/>
  <c r="E14" i="3"/>
  <c r="F14" i="3"/>
  <c r="K14" i="3"/>
  <c r="K54" i="3" s="1"/>
  <c r="M14" i="3"/>
  <c r="E171" i="1" s="1"/>
  <c r="M27" i="3"/>
  <c r="E173" i="1"/>
  <c r="M40" i="3"/>
  <c r="K40" i="3"/>
  <c r="P27" i="3"/>
  <c r="P40" i="3"/>
  <c r="G54" i="4"/>
  <c r="K81" i="1"/>
  <c r="O54" i="3"/>
  <c r="K96" i="1"/>
  <c r="J47" i="8"/>
  <c r="J53" i="2"/>
  <c r="K53" i="2"/>
  <c r="L47" i="8"/>
  <c r="I41" i="8"/>
  <c r="J41" i="8" s="1"/>
  <c r="K41" i="8" s="1"/>
  <c r="M41" i="8" s="1"/>
  <c r="I32" i="8"/>
  <c r="J32" i="8" s="1"/>
  <c r="K32" i="8" s="1"/>
  <c r="I11" i="8"/>
  <c r="J11" i="8" s="1"/>
  <c r="K11" i="8" s="1"/>
  <c r="C47" i="4"/>
  <c r="O52" i="3"/>
  <c r="M51" i="2" s="1"/>
  <c r="O22" i="3"/>
  <c r="M21" i="2" s="1"/>
  <c r="C39" i="4"/>
  <c r="O49" i="3"/>
  <c r="M48" i="2" s="1"/>
  <c r="C49" i="4"/>
  <c r="I41" i="2"/>
  <c r="L41" i="2"/>
  <c r="I27" i="2"/>
  <c r="L27" i="2" s="1"/>
  <c r="E28" i="4" s="1"/>
  <c r="C25" i="4"/>
  <c r="O25" i="3"/>
  <c r="M24" i="2" s="1"/>
  <c r="C45" i="4"/>
  <c r="B18" i="4"/>
  <c r="B18" i="5" s="1"/>
  <c r="I42" i="2"/>
  <c r="S22" i="2"/>
  <c r="T22" i="2"/>
  <c r="H23" i="3" s="1"/>
  <c r="H12" i="9"/>
  <c r="H14" i="9"/>
  <c r="K14" i="9"/>
  <c r="H5" i="9"/>
  <c r="H10" i="9"/>
  <c r="H13" i="9"/>
  <c r="K13" i="9"/>
  <c r="L13" i="9"/>
  <c r="H6" i="9"/>
  <c r="O24" i="3"/>
  <c r="M23" i="2" s="1"/>
  <c r="C24" i="4"/>
  <c r="H7" i="9"/>
  <c r="C46" i="4"/>
  <c r="C43" i="4"/>
  <c r="C16" i="4"/>
  <c r="C48" i="4"/>
  <c r="O48" i="3"/>
  <c r="M47" i="2" s="1"/>
  <c r="C31" i="4"/>
  <c r="C20" i="4"/>
  <c r="B15" i="4"/>
  <c r="B15" i="5" s="1"/>
  <c r="O36" i="3"/>
  <c r="M35" i="2" s="1"/>
  <c r="O39" i="3"/>
  <c r="M38" i="2"/>
  <c r="O47" i="3"/>
  <c r="M46" i="2" s="1"/>
  <c r="I28" i="8"/>
  <c r="J28" i="8" s="1"/>
  <c r="K28" i="8" s="1"/>
  <c r="I16" i="8"/>
  <c r="J16" i="8"/>
  <c r="S43" i="2"/>
  <c r="T43" i="2" s="1"/>
  <c r="S20" i="2"/>
  <c r="T20" i="2" s="1"/>
  <c r="J54" i="4"/>
  <c r="L47" i="2"/>
  <c r="S34" i="2"/>
  <c r="T34" i="2" s="1"/>
  <c r="H35" i="3" s="1"/>
  <c r="AW19" i="10"/>
  <c r="AK45" i="10"/>
  <c r="X19" i="10"/>
  <c r="AM37" i="10"/>
  <c r="K12" i="9"/>
  <c r="Q37" i="10"/>
  <c r="AO10" i="10"/>
  <c r="AP10" i="10" s="1"/>
  <c r="X33" i="10"/>
  <c r="AW34" i="10"/>
  <c r="AV10" i="10"/>
  <c r="AV37" i="10"/>
  <c r="AR37" i="10"/>
  <c r="AS37" i="10" s="1"/>
  <c r="AX10" i="10"/>
  <c r="V35" i="10"/>
  <c r="Z34" i="10"/>
  <c r="AB34" i="10"/>
  <c r="X34" i="10"/>
  <c r="AI34" i="10"/>
  <c r="AT37" i="10"/>
  <c r="H47" i="3"/>
  <c r="AX37" i="10"/>
  <c r="AO15" i="10"/>
  <c r="AP15" i="10" s="1"/>
  <c r="AT15" i="10" s="1"/>
  <c r="AO7" i="10"/>
  <c r="AP7" i="10"/>
  <c r="AT7" i="10" s="1"/>
  <c r="AF5" i="10"/>
  <c r="AH5" i="10" s="1"/>
  <c r="AJ5" i="10"/>
  <c r="AH10" i="10"/>
  <c r="AA19" i="10"/>
  <c r="AA46" i="10" s="1"/>
  <c r="AK46" i="10"/>
  <c r="AF46" i="8"/>
  <c r="AG46" i="8" s="1"/>
  <c r="N47" i="8"/>
  <c r="AF42" i="8"/>
  <c r="AG42" i="8" s="1"/>
  <c r="AF38" i="8"/>
  <c r="AG38" i="8" s="1"/>
  <c r="AF33" i="8"/>
  <c r="AG33" i="8" s="1"/>
  <c r="AF29" i="8"/>
  <c r="AG29" i="8" s="1"/>
  <c r="P47" i="8"/>
  <c r="J33" i="9" s="1"/>
  <c r="F47" i="8"/>
  <c r="AF16" i="8"/>
  <c r="AG16" i="8" s="1"/>
  <c r="AF36" i="8"/>
  <c r="AG36" i="8" s="1"/>
  <c r="AF19" i="8"/>
  <c r="AG19" i="8" s="1"/>
  <c r="H36" i="8"/>
  <c r="V47" i="8"/>
  <c r="AE21" i="8"/>
  <c r="AF12" i="8"/>
  <c r="AG12" i="8" s="1"/>
  <c r="D52" i="5"/>
  <c r="O51" i="2"/>
  <c r="G52" i="3"/>
  <c r="E52" i="4"/>
  <c r="F52" i="4" s="1"/>
  <c r="H52" i="4"/>
  <c r="I52" i="4" s="1"/>
  <c r="J52" i="5" s="1"/>
  <c r="AF45" i="8"/>
  <c r="AG45" i="8" s="1"/>
  <c r="C33" i="4"/>
  <c r="S33" i="2"/>
  <c r="AF10" i="8"/>
  <c r="AG10" i="8" s="1"/>
  <c r="H26" i="8"/>
  <c r="C50" i="4"/>
  <c r="O50" i="3"/>
  <c r="M49" i="2" s="1"/>
  <c r="C53" i="4"/>
  <c r="R47" i="8"/>
  <c r="S29" i="2"/>
  <c r="AB34" i="9"/>
  <c r="T9" i="10"/>
  <c r="U9" i="10" s="1"/>
  <c r="Z16" i="10"/>
  <c r="T34" i="10"/>
  <c r="T11" i="10"/>
  <c r="U11" i="10"/>
  <c r="Z11" i="10"/>
  <c r="Z4" i="10"/>
  <c r="Z14" i="10"/>
  <c r="S16" i="2"/>
  <c r="T16" i="2" s="1"/>
  <c r="H17" i="3" s="1"/>
  <c r="AF23" i="8"/>
  <c r="AG23" i="8" s="1"/>
  <c r="AF27" i="8"/>
  <c r="AG27" i="8" s="1"/>
  <c r="AF31" i="8"/>
  <c r="AG31" i="8" s="1"/>
  <c r="AU46" i="10"/>
  <c r="K11" i="9"/>
  <c r="L11" i="9"/>
  <c r="H11" i="9"/>
  <c r="Y4" i="10"/>
  <c r="AL35" i="10"/>
  <c r="AG33" i="10"/>
  <c r="Q11" i="10"/>
  <c r="R11" i="10" s="1"/>
  <c r="U34" i="10"/>
  <c r="T29" i="2"/>
  <c r="Q34" i="10"/>
  <c r="Z6" i="10"/>
  <c r="O20" i="3"/>
  <c r="M19" i="2" s="1"/>
  <c r="Y9" i="10"/>
  <c r="AV9" i="10" s="1"/>
  <c r="AQ9" i="10"/>
  <c r="AR9" i="10" s="1"/>
  <c r="Y14" i="10"/>
  <c r="Y18" i="10" s="1"/>
  <c r="AQ4" i="10"/>
  <c r="O30" i="3"/>
  <c r="M29" i="2" s="1"/>
  <c r="AG35" i="10"/>
  <c r="AB35" i="10"/>
  <c r="U35" i="10"/>
  <c r="AY35" i="10"/>
  <c r="X35" i="10"/>
  <c r="Z35" i="10"/>
  <c r="AW35" i="10"/>
  <c r="O35" i="10"/>
  <c r="AI35" i="10"/>
  <c r="B20" i="5"/>
  <c r="B16" i="4"/>
  <c r="B16" i="5" s="1"/>
  <c r="L40" i="8"/>
  <c r="S37" i="2"/>
  <c r="T37" i="2" s="1"/>
  <c r="H38" i="3" s="1"/>
  <c r="AK5" i="10"/>
  <c r="Q35" i="10"/>
  <c r="G51" i="3"/>
  <c r="T35" i="10"/>
  <c r="D51" i="5"/>
  <c r="G36" i="3"/>
  <c r="D36" i="5"/>
  <c r="O45" i="3"/>
  <c r="M44" i="2" s="1"/>
  <c r="Y11" i="10"/>
  <c r="AO11" i="10" s="1"/>
  <c r="AP11" i="10" s="1"/>
  <c r="AT11" i="10" s="1"/>
  <c r="Y6" i="10"/>
  <c r="O33" i="3"/>
  <c r="M32" i="2" s="1"/>
  <c r="AE35" i="10"/>
  <c r="Y35" i="10"/>
  <c r="AQ6" i="10"/>
  <c r="AQ35" i="10"/>
  <c r="Y8" i="10"/>
  <c r="AQ11" i="10"/>
  <c r="AR11" i="10" s="1"/>
  <c r="AS11" i="10" s="1"/>
  <c r="O46" i="3"/>
  <c r="M45" i="2" s="1"/>
  <c r="AR6" i="10"/>
  <c r="AS6" i="10" s="1"/>
  <c r="AF35" i="10"/>
  <c r="H21" i="8"/>
  <c r="AF22" i="8"/>
  <c r="AG22" i="8" s="1"/>
  <c r="G21" i="8"/>
  <c r="O44" i="3"/>
  <c r="M43" i="2" s="1"/>
  <c r="O41" i="3"/>
  <c r="M40" i="2" s="1"/>
  <c r="O16" i="3"/>
  <c r="M15" i="2" s="1"/>
  <c r="O17" i="3"/>
  <c r="M16" i="2" s="1"/>
  <c r="O43" i="3"/>
  <c r="M42" i="2" s="1"/>
  <c r="O32" i="3"/>
  <c r="M31" i="2" s="1"/>
  <c r="O31" i="3"/>
  <c r="M30" i="2" s="1"/>
  <c r="O28" i="3"/>
  <c r="M27" i="2" s="1"/>
  <c r="O18" i="3"/>
  <c r="M17" i="2" s="1"/>
  <c r="O15" i="3"/>
  <c r="M14" i="2" s="1"/>
  <c r="BB19" i="10"/>
  <c r="BB46" i="10"/>
  <c r="O33" i="12"/>
  <c r="Q33" i="12" s="1"/>
  <c r="O48" i="12"/>
  <c r="Q48" i="12" s="1"/>
  <c r="H51" i="12"/>
  <c r="K51" i="12"/>
  <c r="H21" i="12"/>
  <c r="H22" i="12"/>
  <c r="K22" i="12" s="1"/>
  <c r="H14" i="12"/>
  <c r="H47" i="12"/>
  <c r="K47" i="12"/>
  <c r="H49" i="12"/>
  <c r="K49" i="12" s="1"/>
  <c r="O50" i="12"/>
  <c r="O34" i="12"/>
  <c r="Q34" i="12" s="1"/>
  <c r="O44" i="12"/>
  <c r="P44" i="12" s="1"/>
  <c r="O24" i="12"/>
  <c r="Q24" i="12" s="1"/>
  <c r="O38" i="12"/>
  <c r="Q38" i="12"/>
  <c r="O47" i="12"/>
  <c r="P47" i="12" s="1"/>
  <c r="O52" i="12"/>
  <c r="Q52" i="12"/>
  <c r="O37" i="12"/>
  <c r="Q37" i="12" s="1"/>
  <c r="O14" i="12"/>
  <c r="Q14" i="12"/>
  <c r="O23" i="12"/>
  <c r="H44" i="12"/>
  <c r="K44" i="12" s="1"/>
  <c r="H16" i="12"/>
  <c r="H24" i="12"/>
  <c r="K24" i="12" s="1"/>
  <c r="O15" i="12"/>
  <c r="P15" i="12" s="1"/>
  <c r="O25" i="12"/>
  <c r="Q25" i="12" s="1"/>
  <c r="O28" i="12"/>
  <c r="P28" i="12" s="1"/>
  <c r="O35" i="12"/>
  <c r="P35" i="12"/>
  <c r="O51" i="12"/>
  <c r="Q51" i="12" s="1"/>
  <c r="K35" i="12"/>
  <c r="O16" i="12"/>
  <c r="P16" i="12"/>
  <c r="O46" i="12"/>
  <c r="Q46" i="12" s="1"/>
  <c r="G26" i="12"/>
  <c r="O30" i="12"/>
  <c r="P30" i="12" s="1"/>
  <c r="Q30" i="12"/>
  <c r="O31" i="12"/>
  <c r="P31" i="12" s="1"/>
  <c r="O42" i="12"/>
  <c r="P42" i="12" s="1"/>
  <c r="O36" i="12"/>
  <c r="P36" i="12" s="1"/>
  <c r="G13" i="12"/>
  <c r="L7" i="11"/>
  <c r="O40" i="12"/>
  <c r="G39" i="12"/>
  <c r="O17" i="12"/>
  <c r="Q17" i="12" s="1"/>
  <c r="O21" i="12"/>
  <c r="Q21" i="12" s="1"/>
  <c r="F53" i="12"/>
  <c r="O41" i="12"/>
  <c r="Q41" i="12" s="1"/>
  <c r="B21" i="4"/>
  <c r="B21" i="5" s="1"/>
  <c r="E21" i="5" s="1"/>
  <c r="J6" i="9"/>
  <c r="J10" i="9"/>
  <c r="J32" i="9"/>
  <c r="AG34" i="10"/>
  <c r="W34" i="10"/>
  <c r="W36" i="10"/>
  <c r="W45" i="10" s="1"/>
  <c r="W46" i="10" s="1"/>
  <c r="AY34" i="10"/>
  <c r="T36" i="10"/>
  <c r="V34" i="10"/>
  <c r="O33" i="10"/>
  <c r="AW33" i="10"/>
  <c r="W33" i="10"/>
  <c r="AL33" i="10"/>
  <c r="V33" i="10"/>
  <c r="AB33" i="10"/>
  <c r="R34" i="10"/>
  <c r="AV17" i="10"/>
  <c r="Y34" i="10"/>
  <c r="AO34" i="10" s="1"/>
  <c r="AP34" i="10" s="1"/>
  <c r="AH17" i="10"/>
  <c r="AO12" i="10"/>
  <c r="AP12" i="10" s="1"/>
  <c r="AT12" i="10" s="1"/>
  <c r="AG12" i="10"/>
  <c r="AL19" i="10"/>
  <c r="AF35" i="8"/>
  <c r="AF26" i="8"/>
  <c r="K171" i="1"/>
  <c r="K173" i="1" s="1"/>
  <c r="AE16" i="10"/>
  <c r="AF16" i="10" s="1"/>
  <c r="AH16" i="10" s="1"/>
  <c r="AR35" i="10"/>
  <c r="AS35" i="10" s="1"/>
  <c r="AS15" i="10"/>
  <c r="AT35" i="10"/>
  <c r="AQ34" i="10"/>
  <c r="AX34" i="10"/>
  <c r="AQ16" i="10"/>
  <c r="AR16" i="10" s="1"/>
  <c r="AS16" i="10" s="1"/>
  <c r="AZ35" i="10"/>
  <c r="BA35" i="10" s="1"/>
  <c r="AV15" i="10"/>
  <c r="AE14" i="10"/>
  <c r="AE18" i="10" s="1"/>
  <c r="AY33" i="10"/>
  <c r="AY18" i="10"/>
  <c r="AQ14" i="10"/>
  <c r="O19" i="10"/>
  <c r="Z9" i="10"/>
  <c r="Z13" i="10" s="1"/>
  <c r="AH39" i="10"/>
  <c r="AJ39" i="10"/>
  <c r="AH12" i="10"/>
  <c r="AJ12" i="10" s="1"/>
  <c r="AM12" i="10" s="1"/>
  <c r="AF34" i="10"/>
  <c r="AR36" i="10"/>
  <c r="AS36" i="10" s="1"/>
  <c r="BA11" i="10"/>
  <c r="AT34" i="10"/>
  <c r="AE34" i="10"/>
  <c r="AR34" i="10"/>
  <c r="AS34" i="10"/>
  <c r="H32" i="9"/>
  <c r="AG10" i="10"/>
  <c r="AJ10" i="10" s="1"/>
  <c r="AM10" i="10" s="1"/>
  <c r="AM5" i="10"/>
  <c r="AZ34" i="10"/>
  <c r="BA34" i="10" s="1"/>
  <c r="AV34" i="10"/>
  <c r="AY8" i="10"/>
  <c r="AE4" i="10"/>
  <c r="AF4" i="10" s="1"/>
  <c r="L10" i="9"/>
  <c r="E53" i="2"/>
  <c r="K10" i="9"/>
  <c r="AD10" i="9"/>
  <c r="H21" i="3"/>
  <c r="V10" i="9"/>
  <c r="K19" i="9"/>
  <c r="K32" i="9"/>
  <c r="H8" i="8"/>
  <c r="D47" i="8"/>
  <c r="K155" i="1"/>
  <c r="G8" i="8"/>
  <c r="G47" i="8" s="1"/>
  <c r="AB19" i="10"/>
  <c r="AG17" i="10"/>
  <c r="AM34" i="10"/>
  <c r="AG26" i="8"/>
  <c r="AR14" i="10"/>
  <c r="AE9" i="10"/>
  <c r="AF9" i="10"/>
  <c r="H33" i="9"/>
  <c r="AK10" i="10"/>
  <c r="AK6" i="10"/>
  <c r="AF36" i="10"/>
  <c r="AG11" i="10"/>
  <c r="AX6" i="10"/>
  <c r="AV6" i="10"/>
  <c r="AT36" i="10"/>
  <c r="AK15" i="10"/>
  <c r="X9" i="8"/>
  <c r="L9" i="8"/>
  <c r="AV35" i="10"/>
  <c r="AG16" i="10"/>
  <c r="AX35" i="10"/>
  <c r="AK11" i="10"/>
  <c r="AX11" i="10"/>
  <c r="AX4" i="10"/>
  <c r="AV4" i="10"/>
  <c r="AV33" i="10" s="1"/>
  <c r="AV45" i="10" s="1"/>
  <c r="O21" i="3"/>
  <c r="M20" i="2" s="1"/>
  <c r="AK16" i="10"/>
  <c r="AG15" i="10"/>
  <c r="AJ15" i="10"/>
  <c r="AM15" i="10" s="1"/>
  <c r="AM35" i="10"/>
  <c r="AV16" i="10"/>
  <c r="U10" i="9"/>
  <c r="AV36" i="10"/>
  <c r="AM36" i="10"/>
  <c r="AX36" i="10"/>
  <c r="AX14" i="10"/>
  <c r="S39" i="12"/>
  <c r="S53" i="12" s="1"/>
  <c r="S13" i="12"/>
  <c r="P45" i="12"/>
  <c r="Q45" i="12"/>
  <c r="Q49" i="12"/>
  <c r="P49" i="12"/>
  <c r="P40" i="12"/>
  <c r="P46" i="12"/>
  <c r="Q40" i="12"/>
  <c r="P41" i="12"/>
  <c r="P51" i="12"/>
  <c r="P48" i="12"/>
  <c r="P52" i="12"/>
  <c r="Q31" i="12"/>
  <c r="P33" i="12"/>
  <c r="P37" i="12"/>
  <c r="Q36" i="12"/>
  <c r="O27" i="12"/>
  <c r="P34" i="12"/>
  <c r="P38" i="12"/>
  <c r="Q35" i="12"/>
  <c r="P14" i="12"/>
  <c r="Q16" i="12"/>
  <c r="P24" i="12"/>
  <c r="Q15" i="12"/>
  <c r="E16" i="11"/>
  <c r="Q20" i="12"/>
  <c r="P20" i="12"/>
  <c r="M13" i="12"/>
  <c r="M53" i="12" s="1"/>
  <c r="S32" i="9"/>
  <c r="S33" i="9"/>
  <c r="M54" i="3"/>
  <c r="F54" i="3"/>
  <c r="BA14" i="10"/>
  <c r="BA18" i="10"/>
  <c r="AZ18" i="10"/>
  <c r="E145" i="1"/>
  <c r="AV14" i="10"/>
  <c r="AV18" i="10" s="1"/>
  <c r="AO14" i="10"/>
  <c r="AO35" i="10"/>
  <c r="AP35" i="10"/>
  <c r="AH44" i="10"/>
  <c r="AJ44" i="10" s="1"/>
  <c r="AS14" i="10"/>
  <c r="AO42" i="10"/>
  <c r="AP42" i="10" s="1"/>
  <c r="AO38" i="10"/>
  <c r="AP38" i="10" s="1"/>
  <c r="R35" i="10"/>
  <c r="AH37" i="10"/>
  <c r="AJ37" i="10" s="1"/>
  <c r="AH42" i="10"/>
  <c r="AJ42" i="10" s="1"/>
  <c r="AO43" i="10"/>
  <c r="AP43" i="10" s="1"/>
  <c r="AO44" i="10"/>
  <c r="AP44" i="10"/>
  <c r="AO40" i="10"/>
  <c r="AP40" i="10" s="1"/>
  <c r="AO39" i="10"/>
  <c r="AP39" i="10" s="1"/>
  <c r="AH38" i="10"/>
  <c r="AJ38" i="10" s="1"/>
  <c r="AZ13" i="10"/>
  <c r="AK9" i="10"/>
  <c r="AZ33" i="10"/>
  <c r="BA4" i="10"/>
  <c r="AK4" i="10"/>
  <c r="AH40" i="10"/>
  <c r="AJ40" i="10" s="1"/>
  <c r="AO37" i="10"/>
  <c r="AP37" i="10" s="1"/>
  <c r="R37" i="10"/>
  <c r="AR4" i="10"/>
  <c r="R40" i="10"/>
  <c r="AQ33" i="10"/>
  <c r="K147" i="1"/>
  <c r="Q39" i="2"/>
  <c r="E42" i="4"/>
  <c r="F42" i="4" s="1"/>
  <c r="H42" i="4" s="1"/>
  <c r="I42" i="4" s="1"/>
  <c r="J42" i="5" s="1"/>
  <c r="G42" i="3"/>
  <c r="D42" i="5"/>
  <c r="E43" i="4"/>
  <c r="F43" i="4" s="1"/>
  <c r="H43" i="4" s="1"/>
  <c r="I43" i="4" s="1"/>
  <c r="J43" i="5" s="1"/>
  <c r="D43" i="5"/>
  <c r="G43" i="3"/>
  <c r="T44" i="2"/>
  <c r="H44" i="3"/>
  <c r="L40" i="2"/>
  <c r="D41" i="5" s="1"/>
  <c r="C42" i="4"/>
  <c r="U45" i="2"/>
  <c r="O42" i="3"/>
  <c r="M41" i="2" s="1"/>
  <c r="I43" i="2"/>
  <c r="G28" i="3"/>
  <c r="D28" i="5"/>
  <c r="O34" i="3"/>
  <c r="M33" i="2" s="1"/>
  <c r="C34" i="4"/>
  <c r="C27" i="5"/>
  <c r="I32" i="2"/>
  <c r="U32" i="2"/>
  <c r="H28" i="3"/>
  <c r="E28" i="5"/>
  <c r="H26" i="2"/>
  <c r="D32" i="5"/>
  <c r="E32" i="4"/>
  <c r="F32" i="4" s="1"/>
  <c r="H32" i="4" s="1"/>
  <c r="I32" i="4" s="1"/>
  <c r="J32" i="5" s="1"/>
  <c r="F28" i="4"/>
  <c r="H28" i="4" s="1"/>
  <c r="U33" i="2"/>
  <c r="I33" i="2"/>
  <c r="C29" i="4"/>
  <c r="D27" i="3"/>
  <c r="E143" i="1"/>
  <c r="O29" i="3"/>
  <c r="M28" i="2" s="1"/>
  <c r="U30" i="2"/>
  <c r="I30" i="2"/>
  <c r="L30" i="2" s="1"/>
  <c r="D31" i="5" s="1"/>
  <c r="H31" i="5" s="1"/>
  <c r="I31" i="5" s="1"/>
  <c r="I29" i="2"/>
  <c r="U28" i="2"/>
  <c r="H16" i="9"/>
  <c r="H34" i="9"/>
  <c r="AD6" i="9"/>
  <c r="Q26" i="2"/>
  <c r="AD7" i="9"/>
  <c r="H15" i="3"/>
  <c r="E15" i="5"/>
  <c r="C21" i="4"/>
  <c r="I19" i="2"/>
  <c r="U19" i="2"/>
  <c r="AD9" i="9"/>
  <c r="H20" i="3"/>
  <c r="E20" i="5"/>
  <c r="D14" i="3"/>
  <c r="G18" i="3"/>
  <c r="I18" i="2"/>
  <c r="U18" i="2"/>
  <c r="AD8" i="9" s="1"/>
  <c r="U14" i="2"/>
  <c r="I14" i="2"/>
  <c r="C15" i="4"/>
  <c r="S15" i="2"/>
  <c r="T15" i="2" s="1"/>
  <c r="Q13" i="2"/>
  <c r="C14" i="5"/>
  <c r="U20" i="2"/>
  <c r="I20" i="2"/>
  <c r="O19" i="3"/>
  <c r="M18" i="2" s="1"/>
  <c r="AP14" i="10"/>
  <c r="AT14" i="10" s="1"/>
  <c r="AS4" i="10"/>
  <c r="BA33" i="10"/>
  <c r="G41" i="3"/>
  <c r="H28" i="5"/>
  <c r="I28" i="5" s="1"/>
  <c r="Q53" i="2"/>
  <c r="AD5" i="9"/>
  <c r="E141" i="1"/>
  <c r="K141" i="1"/>
  <c r="D54" i="3"/>
  <c r="H17" i="9"/>
  <c r="L14" i="2"/>
  <c r="AD4" i="9"/>
  <c r="AD16" i="9" s="1"/>
  <c r="AK14" i="10"/>
  <c r="E15" i="4"/>
  <c r="D15" i="5"/>
  <c r="K4" i="9"/>
  <c r="G15" i="3"/>
  <c r="I15" i="3" s="1"/>
  <c r="H15" i="5"/>
  <c r="I15" i="5" s="1"/>
  <c r="L5" i="11" l="1"/>
  <c r="W32" i="12"/>
  <c r="W50" i="12"/>
  <c r="W33" i="12"/>
  <c r="W17" i="12"/>
  <c r="G7" i="11" s="1"/>
  <c r="W34" i="12"/>
  <c r="W18" i="12"/>
  <c r="G8" i="11" s="1"/>
  <c r="W37" i="12"/>
  <c r="W19" i="12"/>
  <c r="G9" i="11" s="1"/>
  <c r="M11" i="11"/>
  <c r="M12" i="11"/>
  <c r="M13" i="11"/>
  <c r="M14" i="11"/>
  <c r="M15" i="11"/>
  <c r="K17" i="12"/>
  <c r="K20" i="12"/>
  <c r="K28" i="12"/>
  <c r="H34" i="12"/>
  <c r="K34" i="12" s="1"/>
  <c r="H46" i="12"/>
  <c r="K46" i="12" s="1"/>
  <c r="H18" i="12"/>
  <c r="K18" i="12" s="1"/>
  <c r="H15" i="12"/>
  <c r="K14" i="12"/>
  <c r="H4" i="11" s="1"/>
  <c r="H48" i="12"/>
  <c r="K48" i="12" s="1"/>
  <c r="H45" i="12"/>
  <c r="K45" i="12" s="1"/>
  <c r="H50" i="12"/>
  <c r="H29" i="12"/>
  <c r="H32" i="12"/>
  <c r="K32" i="12" s="1"/>
  <c r="H9" i="11" s="1"/>
  <c r="H36" i="12"/>
  <c r="K36" i="12" s="1"/>
  <c r="H42" i="12"/>
  <c r="K42" i="12" s="1"/>
  <c r="H19" i="12"/>
  <c r="K40" i="12"/>
  <c r="H52" i="12"/>
  <c r="K52" i="12" s="1"/>
  <c r="H43" i="12"/>
  <c r="K43" i="12" s="1"/>
  <c r="H40" i="12"/>
  <c r="K19" i="12"/>
  <c r="H41" i="12"/>
  <c r="K41" i="12" s="1"/>
  <c r="H30" i="12"/>
  <c r="H38" i="12"/>
  <c r="K38" i="12" s="1"/>
  <c r="H37" i="12"/>
  <c r="K37" i="12" s="1"/>
  <c r="H23" i="12"/>
  <c r="K23" i="12" s="1"/>
  <c r="H33" i="12"/>
  <c r="K16" i="12"/>
  <c r="H27" i="12"/>
  <c r="K27" i="12" s="1"/>
  <c r="H25" i="12"/>
  <c r="K25" i="12" s="1"/>
  <c r="V8" i="9"/>
  <c r="H19" i="3"/>
  <c r="R53" i="2"/>
  <c r="AS5" i="10"/>
  <c r="AR8" i="10"/>
  <c r="AR33" i="10"/>
  <c r="AS9" i="10"/>
  <c r="AS13" i="10" s="1"/>
  <c r="AR13" i="10"/>
  <c r="AV13" i="10"/>
  <c r="AV19" i="10" s="1"/>
  <c r="AV46" i="10" s="1"/>
  <c r="G34" i="3"/>
  <c r="D34" i="5"/>
  <c r="H34" i="5" s="1"/>
  <c r="I34" i="5" s="1"/>
  <c r="K34" i="5" s="1"/>
  <c r="E34" i="4"/>
  <c r="F34" i="4" s="1"/>
  <c r="H34" i="4" s="1"/>
  <c r="I34" i="4" s="1"/>
  <c r="J34" i="5" s="1"/>
  <c r="D26" i="5"/>
  <c r="G26" i="3"/>
  <c r="E26" i="4"/>
  <c r="F26" i="4" s="1"/>
  <c r="H26" i="4" s="1"/>
  <c r="I26" i="4" s="1"/>
  <c r="J26" i="5" s="1"/>
  <c r="AS8" i="10"/>
  <c r="H32" i="3"/>
  <c r="I32" i="3" s="1"/>
  <c r="E32" i="5"/>
  <c r="H32" i="5" s="1"/>
  <c r="I32" i="5" s="1"/>
  <c r="K32" i="5" s="1"/>
  <c r="AF34" i="8"/>
  <c r="G29" i="3"/>
  <c r="D29" i="5"/>
  <c r="K5" i="9"/>
  <c r="E29" i="4"/>
  <c r="F29" i="4" s="1"/>
  <c r="H29" i="4" s="1"/>
  <c r="I29" i="4" s="1"/>
  <c r="J29" i="5" s="1"/>
  <c r="E31" i="4"/>
  <c r="F31" i="4" s="1"/>
  <c r="H31" i="4" s="1"/>
  <c r="I31" i="4" s="1"/>
  <c r="J31" i="5" s="1"/>
  <c r="K31" i="5" s="1"/>
  <c r="L29" i="2"/>
  <c r="P17" i="12"/>
  <c r="O39" i="12"/>
  <c r="AO9" i="10"/>
  <c r="Q42" i="12"/>
  <c r="Q28" i="12"/>
  <c r="K5" i="11" s="1"/>
  <c r="Q47" i="12"/>
  <c r="AE6" i="10"/>
  <c r="AF6" i="10" s="1"/>
  <c r="AH6" i="10" s="1"/>
  <c r="AJ6" i="10" s="1"/>
  <c r="AM6" i="10" s="1"/>
  <c r="Q5" i="10"/>
  <c r="R5" i="10" s="1"/>
  <c r="T6" i="10"/>
  <c r="U6" i="10" s="1"/>
  <c r="S12" i="8"/>
  <c r="T12" i="8" s="1"/>
  <c r="Z12" i="8" s="1"/>
  <c r="E19" i="6"/>
  <c r="I30" i="8"/>
  <c r="J30" i="8" s="1"/>
  <c r="H31" i="3"/>
  <c r="BA8" i="10"/>
  <c r="AJ16" i="10"/>
  <c r="AM16" i="10" s="1"/>
  <c r="X34" i="8"/>
  <c r="Q7" i="10"/>
  <c r="R7" i="10" s="1"/>
  <c r="Q17" i="10"/>
  <c r="R17" i="10" s="1"/>
  <c r="T17" i="10"/>
  <c r="U17" i="10" s="1"/>
  <c r="I37" i="8"/>
  <c r="J37" i="8" s="1"/>
  <c r="K37" i="8" s="1"/>
  <c r="I12" i="8"/>
  <c r="J12" i="8" s="1"/>
  <c r="K12" i="8" s="1"/>
  <c r="I35" i="8"/>
  <c r="J35" i="8" s="1"/>
  <c r="K35" i="8" s="1"/>
  <c r="I45" i="8"/>
  <c r="J45" i="8" s="1"/>
  <c r="K45" i="8" s="1"/>
  <c r="F51" i="4"/>
  <c r="H51" i="4" s="1"/>
  <c r="I51" i="4" s="1"/>
  <c r="J51" i="5" s="1"/>
  <c r="S21" i="2"/>
  <c r="T21" i="2" s="1"/>
  <c r="H22" i="3" s="1"/>
  <c r="R38" i="10"/>
  <c r="K33" i="12"/>
  <c r="S46" i="8"/>
  <c r="T46" i="8" s="1"/>
  <c r="AH41" i="10"/>
  <c r="AJ41" i="10" s="1"/>
  <c r="AV8" i="10"/>
  <c r="AF21" i="8"/>
  <c r="AF9" i="8"/>
  <c r="AG9" i="8" s="1"/>
  <c r="AO6" i="10"/>
  <c r="AP6" i="10" s="1"/>
  <c r="AT6" i="10" s="1"/>
  <c r="Q15" i="10"/>
  <c r="Q12" i="10"/>
  <c r="R12" i="10" s="1"/>
  <c r="T15" i="10"/>
  <c r="U15" i="10" s="1"/>
  <c r="I23" i="8"/>
  <c r="J23" i="8" s="1"/>
  <c r="K23" i="8" s="1"/>
  <c r="I13" i="8"/>
  <c r="J13" i="8" s="1"/>
  <c r="K13" i="8" s="1"/>
  <c r="S13" i="8" s="1"/>
  <c r="T13" i="8" s="1"/>
  <c r="Z13" i="8" s="1"/>
  <c r="I38" i="8"/>
  <c r="J38" i="8" s="1"/>
  <c r="E44" i="5"/>
  <c r="K44" i="8"/>
  <c r="M44" i="8" s="1"/>
  <c r="O44" i="8" s="1"/>
  <c r="AE11" i="10"/>
  <c r="O29" i="12"/>
  <c r="T7" i="10"/>
  <c r="U7" i="10" s="1"/>
  <c r="AE34" i="8"/>
  <c r="AE47" i="8" s="1"/>
  <c r="E24" i="6"/>
  <c r="I29" i="8"/>
  <c r="J29" i="8" s="1"/>
  <c r="K29" i="8" s="1"/>
  <c r="I43" i="8"/>
  <c r="J43" i="8" s="1"/>
  <c r="K43" i="8" s="1"/>
  <c r="I14" i="8"/>
  <c r="J14" i="8" s="1"/>
  <c r="K14" i="8" s="1"/>
  <c r="I17" i="8"/>
  <c r="J17" i="8" s="1"/>
  <c r="K17" i="8" s="1"/>
  <c r="I40" i="8"/>
  <c r="J40" i="8" s="1"/>
  <c r="K40" i="8" s="1"/>
  <c r="M40" i="8" s="1"/>
  <c r="O40" i="8" s="1"/>
  <c r="S32" i="2"/>
  <c r="T32" i="2" s="1"/>
  <c r="G31" i="3"/>
  <c r="I31" i="3" s="1"/>
  <c r="K31" i="4" s="1"/>
  <c r="AZ8" i="10"/>
  <c r="E41" i="4"/>
  <c r="AV11" i="10"/>
  <c r="AE33" i="10"/>
  <c r="AG35" i="8"/>
  <c r="N39" i="12"/>
  <c r="N53" i="12" s="1"/>
  <c r="O19" i="12"/>
  <c r="Q10" i="10"/>
  <c r="R10" i="10" s="1"/>
  <c r="Q4" i="10"/>
  <c r="T10" i="10"/>
  <c r="T5" i="10"/>
  <c r="U5" i="10" s="1"/>
  <c r="I18" i="8"/>
  <c r="J18" i="8" s="1"/>
  <c r="K18" i="8" s="1"/>
  <c r="I19" i="8"/>
  <c r="J19" i="8" s="1"/>
  <c r="K19" i="8" s="1"/>
  <c r="I42" i="8"/>
  <c r="J42" i="8" s="1"/>
  <c r="K42" i="8" s="1"/>
  <c r="S42" i="8" s="1"/>
  <c r="T42" i="8" s="1"/>
  <c r="Z42" i="8" s="1"/>
  <c r="S42" i="2"/>
  <c r="T42" i="2" s="1"/>
  <c r="AX9" i="10"/>
  <c r="AX13" i="10" s="1"/>
  <c r="AQ13" i="10"/>
  <c r="L43" i="2"/>
  <c r="Y13" i="10"/>
  <c r="E185" i="1" s="1"/>
  <c r="AQ8" i="10"/>
  <c r="Q6" i="10"/>
  <c r="R6" i="10" s="1"/>
  <c r="T12" i="10"/>
  <c r="U12" i="10" s="1"/>
  <c r="S19" i="8"/>
  <c r="T19" i="8" s="1"/>
  <c r="I20" i="8"/>
  <c r="J20" i="8" s="1"/>
  <c r="K20" i="8" s="1"/>
  <c r="S20" i="8" s="1"/>
  <c r="T20" i="8" s="1"/>
  <c r="I44" i="8"/>
  <c r="J44" i="8" s="1"/>
  <c r="L46" i="2"/>
  <c r="S17" i="2"/>
  <c r="T17" i="2" s="1"/>
  <c r="S23" i="8"/>
  <c r="T23" i="8" s="1"/>
  <c r="Z23" i="8" s="1"/>
  <c r="Z33" i="10"/>
  <c r="I10" i="8"/>
  <c r="J10" i="8" s="1"/>
  <c r="K10" i="8" s="1"/>
  <c r="S10" i="8" s="1"/>
  <c r="T10" i="8" s="1"/>
  <c r="Z10" i="8" s="1"/>
  <c r="I24" i="8"/>
  <c r="J24" i="8" s="1"/>
  <c r="K24" i="8" s="1"/>
  <c r="I46" i="8"/>
  <c r="J46" i="8" s="1"/>
  <c r="K46" i="8" s="1"/>
  <c r="AH9" i="10"/>
  <c r="P21" i="12"/>
  <c r="Q44" i="12"/>
  <c r="AH35" i="10"/>
  <c r="AJ35" i="10" s="1"/>
  <c r="Q14" i="10"/>
  <c r="R14" i="10" s="1"/>
  <c r="T14" i="10"/>
  <c r="I52" i="3"/>
  <c r="I15" i="8"/>
  <c r="J15" i="8" s="1"/>
  <c r="K15" i="8" s="1"/>
  <c r="S15" i="8" s="1"/>
  <c r="T15" i="8" s="1"/>
  <c r="S35" i="2"/>
  <c r="T35" i="2" s="1"/>
  <c r="H36" i="3" s="1"/>
  <c r="I25" i="8"/>
  <c r="J25" i="8" s="1"/>
  <c r="K25" i="8" s="1"/>
  <c r="I26" i="8"/>
  <c r="J26" i="8" s="1"/>
  <c r="K26" i="8" s="1"/>
  <c r="S26" i="8" s="1"/>
  <c r="T26" i="8" s="1"/>
  <c r="Z26" i="8" s="1"/>
  <c r="S45" i="2"/>
  <c r="T45" i="2" s="1"/>
  <c r="S11" i="8"/>
  <c r="T11" i="8" s="1"/>
  <c r="Z11" i="8" s="1"/>
  <c r="AX33" i="10"/>
  <c r="AX45" i="10" s="1"/>
  <c r="AJ17" i="10"/>
  <c r="AM17" i="10" s="1"/>
  <c r="Q9" i="10"/>
  <c r="T16" i="10"/>
  <c r="U16" i="10" s="1"/>
  <c r="I27" i="8"/>
  <c r="J27" i="8" s="1"/>
  <c r="K27" i="8" s="1"/>
  <c r="M27" i="8" s="1"/>
  <c r="I31" i="8"/>
  <c r="J31" i="8" s="1"/>
  <c r="K31" i="8" s="1"/>
  <c r="K30" i="8"/>
  <c r="O18" i="12"/>
  <c r="O13" i="12" s="1"/>
  <c r="L19" i="2"/>
  <c r="K16" i="8"/>
  <c r="S16" i="8" s="1"/>
  <c r="T16" i="8" s="1"/>
  <c r="Z16" i="8" s="1"/>
  <c r="AZ19" i="10"/>
  <c r="Y33" i="10"/>
  <c r="AS18" i="10"/>
  <c r="AS19" i="10" s="1"/>
  <c r="K50" i="12"/>
  <c r="L7" i="9"/>
  <c r="I22" i="8"/>
  <c r="J22" i="8" s="1"/>
  <c r="K22" i="8" s="1"/>
  <c r="S22" i="8" s="1"/>
  <c r="T22" i="8" s="1"/>
  <c r="I33" i="8"/>
  <c r="J33" i="8" s="1"/>
  <c r="K33" i="8" s="1"/>
  <c r="S33" i="8" s="1"/>
  <c r="T33" i="8" s="1"/>
  <c r="I36" i="8"/>
  <c r="J36" i="8" s="1"/>
  <c r="K36" i="8" s="1"/>
  <c r="I39" i="8"/>
  <c r="J39" i="8" s="1"/>
  <c r="K39" i="8" s="1"/>
  <c r="S28" i="2"/>
  <c r="T28" i="2" s="1"/>
  <c r="H29" i="3" s="1"/>
  <c r="R42" i="10"/>
  <c r="J29" i="12"/>
  <c r="K29" i="12" s="1"/>
  <c r="AD34" i="9"/>
  <c r="AD17" i="9"/>
  <c r="J15" i="3"/>
  <c r="K15" i="4"/>
  <c r="G44" i="3"/>
  <c r="F15" i="4"/>
  <c r="O26" i="12"/>
  <c r="O53" i="12" s="1"/>
  <c r="Q27" i="12"/>
  <c r="P27" i="12"/>
  <c r="E21" i="4"/>
  <c r="F21" i="4" s="1"/>
  <c r="H21" i="4" s="1"/>
  <c r="I21" i="4" s="1"/>
  <c r="J21" i="5" s="1"/>
  <c r="K21" i="5" s="1"/>
  <c r="H16" i="3"/>
  <c r="G21" i="3"/>
  <c r="L32" i="2"/>
  <c r="Z33" i="8"/>
  <c r="E16" i="5"/>
  <c r="Z19" i="8"/>
  <c r="J31" i="3"/>
  <c r="I41" i="3"/>
  <c r="P23" i="12"/>
  <c r="Q23" i="12"/>
  <c r="L6" i="9"/>
  <c r="V6" i="9"/>
  <c r="H30" i="3"/>
  <c r="E30" i="5"/>
  <c r="T33" i="2"/>
  <c r="H34" i="3" s="1"/>
  <c r="I34" i="3" s="1"/>
  <c r="I28" i="3"/>
  <c r="I5" i="11"/>
  <c r="E19" i="4"/>
  <c r="F19" i="4" s="1"/>
  <c r="H19" i="4" s="1"/>
  <c r="I19" i="4" s="1"/>
  <c r="J19" i="5" s="1"/>
  <c r="I28" i="4"/>
  <c r="G19" i="3"/>
  <c r="M45" i="8"/>
  <c r="O45" i="8" s="1"/>
  <c r="S45" i="8"/>
  <c r="T45" i="8" s="1"/>
  <c r="P22" i="12"/>
  <c r="Q22" i="12"/>
  <c r="H45" i="3"/>
  <c r="L8" i="9"/>
  <c r="I51" i="3"/>
  <c r="M26" i="8"/>
  <c r="O26" i="8" s="1"/>
  <c r="W26" i="8" s="1"/>
  <c r="AA26" i="8" s="1"/>
  <c r="AB26" i="8" s="1"/>
  <c r="M25" i="8"/>
  <c r="O25" i="8" s="1"/>
  <c r="S25" i="8"/>
  <c r="M28" i="8"/>
  <c r="O28" i="8" s="1"/>
  <c r="S28" i="8"/>
  <c r="T28" i="8" s="1"/>
  <c r="M32" i="8"/>
  <c r="O32" i="8" s="1"/>
  <c r="AH34" i="10"/>
  <c r="AJ34" i="10" s="1"/>
  <c r="E41" i="5"/>
  <c r="V4" i="9"/>
  <c r="L4" i="9"/>
  <c r="M29" i="8"/>
  <c r="O29" i="8" s="1"/>
  <c r="S29" i="8"/>
  <c r="T29" i="8" s="1"/>
  <c r="AR18" i="10"/>
  <c r="AR19" i="10" s="1"/>
  <c r="AG34" i="8"/>
  <c r="S35" i="8"/>
  <c r="P25" i="12"/>
  <c r="K4" i="11"/>
  <c r="Q50" i="12"/>
  <c r="P50" i="12"/>
  <c r="AT10" i="10"/>
  <c r="U52" i="2"/>
  <c r="I52" i="2"/>
  <c r="L52" i="2" s="1"/>
  <c r="H39" i="2"/>
  <c r="Z45" i="10"/>
  <c r="I4" i="11"/>
  <c r="I36" i="3"/>
  <c r="AO16" i="10"/>
  <c r="AP16" i="10" s="1"/>
  <c r="Z18" i="10"/>
  <c r="AX16" i="10"/>
  <c r="AX18" i="10" s="1"/>
  <c r="AH4" i="10"/>
  <c r="M36" i="8"/>
  <c r="O36" i="8" s="1"/>
  <c r="AO4" i="10"/>
  <c r="Z8" i="10"/>
  <c r="M46" i="8"/>
  <c r="O46" i="8" s="1"/>
  <c r="B25" i="4"/>
  <c r="B25" i="5" s="1"/>
  <c r="N9" i="9"/>
  <c r="S9" i="9"/>
  <c r="N10" i="9"/>
  <c r="J5" i="9"/>
  <c r="N14" i="9"/>
  <c r="S8" i="9"/>
  <c r="J11" i="9"/>
  <c r="N11" i="9"/>
  <c r="J14" i="9"/>
  <c r="S6" i="9"/>
  <c r="S13" i="9"/>
  <c r="N12" i="9"/>
  <c r="J8" i="9"/>
  <c r="J9" i="9"/>
  <c r="N4" i="9"/>
  <c r="J7" i="9"/>
  <c r="N6" i="9"/>
  <c r="S14" i="9"/>
  <c r="N8" i="9"/>
  <c r="S9" i="8"/>
  <c r="L19" i="9"/>
  <c r="L32" i="9" s="1"/>
  <c r="E45" i="5"/>
  <c r="M31" i="8"/>
  <c r="O31" i="8" s="1"/>
  <c r="AQ18" i="10"/>
  <c r="AQ19" i="10" s="1"/>
  <c r="Z46" i="8"/>
  <c r="E16" i="4"/>
  <c r="F16" i="4" s="1"/>
  <c r="H16" i="4" s="1"/>
  <c r="I16" i="4" s="1"/>
  <c r="D16" i="5"/>
  <c r="G16" i="3"/>
  <c r="AG36" i="10"/>
  <c r="O36" i="10"/>
  <c r="AL36" i="10"/>
  <c r="AL45" i="10" s="1"/>
  <c r="AL46" i="10" s="1"/>
  <c r="Q36" i="10"/>
  <c r="AI36" i="10"/>
  <c r="AI45" i="10" s="1"/>
  <c r="AI46" i="10" s="1"/>
  <c r="AB36" i="10"/>
  <c r="AB45" i="10" s="1"/>
  <c r="AB46" i="10" s="1"/>
  <c r="AQ36" i="10"/>
  <c r="AQ45" i="10" s="1"/>
  <c r="AQ46" i="10" s="1"/>
  <c r="AF14" i="10"/>
  <c r="Y36" i="10"/>
  <c r="Y45" i="10" s="1"/>
  <c r="K30" i="12"/>
  <c r="H26" i="12"/>
  <c r="S31" i="8"/>
  <c r="T31" i="8" s="1"/>
  <c r="U4" i="10"/>
  <c r="T33" i="10"/>
  <c r="T45" i="10" s="1"/>
  <c r="C37" i="4"/>
  <c r="O37" i="3"/>
  <c r="M36" i="2" s="1"/>
  <c r="I37" i="2"/>
  <c r="L37" i="2" s="1"/>
  <c r="U37" i="2"/>
  <c r="G47" i="3"/>
  <c r="E47" i="4"/>
  <c r="F47" i="4" s="1"/>
  <c r="H47" i="4" s="1"/>
  <c r="I47" i="4" s="1"/>
  <c r="J47" i="5" s="1"/>
  <c r="Q32" i="12"/>
  <c r="P32" i="12"/>
  <c r="S36" i="8"/>
  <c r="T36" i="8" s="1"/>
  <c r="D23" i="5"/>
  <c r="H23" i="5" s="1"/>
  <c r="I23" i="5" s="1"/>
  <c r="G23" i="3"/>
  <c r="G48" i="3"/>
  <c r="D48" i="5"/>
  <c r="Q29" i="12"/>
  <c r="K6" i="11" s="1"/>
  <c r="P29" i="12"/>
  <c r="V36" i="10"/>
  <c r="V45" i="10" s="1"/>
  <c r="V46" i="10" s="1"/>
  <c r="M23" i="8"/>
  <c r="O23" i="8" s="1"/>
  <c r="M37" i="8"/>
  <c r="O37" i="8"/>
  <c r="O41" i="8"/>
  <c r="BA13" i="10"/>
  <c r="BA19" i="10" s="1"/>
  <c r="U36" i="10"/>
  <c r="AW36" i="10"/>
  <c r="AW45" i="10" s="1"/>
  <c r="AW46" i="10" s="1"/>
  <c r="S32" i="8"/>
  <c r="T32" i="8" s="1"/>
  <c r="S43" i="8"/>
  <c r="T43" i="8" s="1"/>
  <c r="AY36" i="10"/>
  <c r="AY45" i="10" s="1"/>
  <c r="AY46" i="10" s="1"/>
  <c r="R15" i="10"/>
  <c r="R18" i="10" s="1"/>
  <c r="Q18" i="10"/>
  <c r="M43" i="8"/>
  <c r="O43" i="8" s="1"/>
  <c r="H26" i="5"/>
  <c r="I26" i="5" s="1"/>
  <c r="K26" i="5" s="1"/>
  <c r="M30" i="8"/>
  <c r="O30" i="8"/>
  <c r="AE36" i="10"/>
  <c r="AE45" i="10" s="1"/>
  <c r="Z36" i="10"/>
  <c r="X13" i="12"/>
  <c r="X53" i="12" s="1"/>
  <c r="L4" i="11"/>
  <c r="H52" i="5"/>
  <c r="I52" i="5" s="1"/>
  <c r="K52" i="5" s="1"/>
  <c r="M33" i="8"/>
  <c r="O33" i="8" s="1"/>
  <c r="W33" i="8" s="1"/>
  <c r="AA33" i="8" s="1"/>
  <c r="B19" i="4"/>
  <c r="B19" i="5" s="1"/>
  <c r="S11" i="9"/>
  <c r="S7" i="9"/>
  <c r="S4" i="9"/>
  <c r="N13" i="9"/>
  <c r="J13" i="9"/>
  <c r="S10" i="9"/>
  <c r="J12" i="9"/>
  <c r="S5" i="9"/>
  <c r="N5" i="9"/>
  <c r="X36" i="10"/>
  <c r="X45" i="10" s="1"/>
  <c r="X46" i="10" s="1"/>
  <c r="AG21" i="8"/>
  <c r="G53" i="12"/>
  <c r="D47" i="5"/>
  <c r="M42" i="8"/>
  <c r="O42" i="8" s="1"/>
  <c r="J4" i="9"/>
  <c r="J16" i="9" s="1"/>
  <c r="H36" i="5"/>
  <c r="I36" i="5" s="1"/>
  <c r="K36" i="5" s="1"/>
  <c r="L24" i="2"/>
  <c r="S14" i="8"/>
  <c r="T14" i="8" s="1"/>
  <c r="S37" i="8"/>
  <c r="T37" i="8" s="1"/>
  <c r="AZ36" i="10"/>
  <c r="Z20" i="8"/>
  <c r="E48" i="4"/>
  <c r="F48" i="4" s="1"/>
  <c r="H48" i="4" s="1"/>
  <c r="I48" i="4" s="1"/>
  <c r="J48" i="5" s="1"/>
  <c r="E18" i="4"/>
  <c r="F18" i="4" s="1"/>
  <c r="H18" i="4" s="1"/>
  <c r="I18" i="4" s="1"/>
  <c r="J18" i="5" s="1"/>
  <c r="D18" i="5"/>
  <c r="L6" i="11"/>
  <c r="M35" i="8"/>
  <c r="B17" i="4"/>
  <c r="H48" i="5"/>
  <c r="I48" i="5" s="1"/>
  <c r="U23" i="2"/>
  <c r="I23" i="2"/>
  <c r="L23" i="2" s="1"/>
  <c r="T48" i="12"/>
  <c r="U48" i="12" s="1"/>
  <c r="V48" i="12" s="1"/>
  <c r="T36" i="12"/>
  <c r="U36" i="12" s="1"/>
  <c r="V36" i="12" s="1"/>
  <c r="T24" i="12"/>
  <c r="U24" i="12" s="1"/>
  <c r="V24" i="12" s="1"/>
  <c r="T47" i="12"/>
  <c r="U47" i="12" s="1"/>
  <c r="V47" i="12" s="1"/>
  <c r="T35" i="12"/>
  <c r="U35" i="12" s="1"/>
  <c r="V35" i="12" s="1"/>
  <c r="T23" i="12"/>
  <c r="U23" i="12" s="1"/>
  <c r="V23" i="12" s="1"/>
  <c r="T46" i="12"/>
  <c r="U46" i="12" s="1"/>
  <c r="V46" i="12" s="1"/>
  <c r="Y46" i="12" s="1"/>
  <c r="T34" i="12"/>
  <c r="U34" i="12" s="1"/>
  <c r="V34" i="12" s="1"/>
  <c r="Y34" i="12" s="1"/>
  <c r="T22" i="12"/>
  <c r="U22" i="12" s="1"/>
  <c r="V22" i="12" s="1"/>
  <c r="T45" i="12"/>
  <c r="U45" i="12" s="1"/>
  <c r="V45" i="12" s="1"/>
  <c r="Y45" i="12" s="1"/>
  <c r="T33" i="12"/>
  <c r="U33" i="12" s="1"/>
  <c r="V33" i="12" s="1"/>
  <c r="Y33" i="12" s="1"/>
  <c r="T21" i="12"/>
  <c r="U21" i="12" s="1"/>
  <c r="V21" i="12" s="1"/>
  <c r="T44" i="12"/>
  <c r="U44" i="12" s="1"/>
  <c r="V44" i="12" s="1"/>
  <c r="Y44" i="12" s="1"/>
  <c r="T32" i="12"/>
  <c r="U32" i="12" s="1"/>
  <c r="V32" i="12" s="1"/>
  <c r="T20" i="12"/>
  <c r="U20" i="12" s="1"/>
  <c r="V20" i="12" s="1"/>
  <c r="Y20" i="12" s="1"/>
  <c r="T43" i="12"/>
  <c r="U43" i="12" s="1"/>
  <c r="V43" i="12" s="1"/>
  <c r="T31" i="12"/>
  <c r="U31" i="12" s="1"/>
  <c r="V31" i="12" s="1"/>
  <c r="T19" i="12"/>
  <c r="U19" i="12" s="1"/>
  <c r="V19" i="12" s="1"/>
  <c r="T42" i="12"/>
  <c r="U42" i="12" s="1"/>
  <c r="V42" i="12" s="1"/>
  <c r="T30" i="12"/>
  <c r="U30" i="12" s="1"/>
  <c r="V30" i="12" s="1"/>
  <c r="T18" i="12"/>
  <c r="U18" i="12" s="1"/>
  <c r="V18" i="12" s="1"/>
  <c r="T41" i="12"/>
  <c r="U41" i="12" s="1"/>
  <c r="V41" i="12" s="1"/>
  <c r="Y41" i="12" s="1"/>
  <c r="T29" i="12"/>
  <c r="U29" i="12" s="1"/>
  <c r="V29" i="12" s="1"/>
  <c r="T52" i="12"/>
  <c r="U52" i="12" s="1"/>
  <c r="V52" i="12" s="1"/>
  <c r="T28" i="12"/>
  <c r="U28" i="12" s="1"/>
  <c r="V28" i="12" s="1"/>
  <c r="Y28" i="12" s="1"/>
  <c r="T17" i="12"/>
  <c r="U17" i="12" s="1"/>
  <c r="V17" i="12" s="1"/>
  <c r="T51" i="12"/>
  <c r="U51" i="12" s="1"/>
  <c r="V51" i="12" s="1"/>
  <c r="T40" i="12"/>
  <c r="T27" i="12"/>
  <c r="T16" i="12"/>
  <c r="U16" i="12" s="1"/>
  <c r="V16" i="12" s="1"/>
  <c r="T50" i="12"/>
  <c r="U50" i="12" s="1"/>
  <c r="V50" i="12" s="1"/>
  <c r="T38" i="12"/>
  <c r="U38" i="12" s="1"/>
  <c r="V38" i="12" s="1"/>
  <c r="T15" i="12"/>
  <c r="U15" i="12" s="1"/>
  <c r="V15" i="12" s="1"/>
  <c r="T49" i="12"/>
  <c r="U49" i="12" s="1"/>
  <c r="V49" i="12" s="1"/>
  <c r="Y49" i="12" s="1"/>
  <c r="T37" i="12"/>
  <c r="U37" i="12" s="1"/>
  <c r="V37" i="12" s="1"/>
  <c r="T25" i="12"/>
  <c r="U25" i="12" s="1"/>
  <c r="V25" i="12" s="1"/>
  <c r="T14" i="12"/>
  <c r="S39" i="8"/>
  <c r="T39" i="8" s="1"/>
  <c r="H47" i="5"/>
  <c r="I47" i="5" s="1"/>
  <c r="I24" i="2"/>
  <c r="U24" i="2"/>
  <c r="N7" i="9"/>
  <c r="H51" i="5"/>
  <c r="I51" i="5" s="1"/>
  <c r="K51" i="5" s="1"/>
  <c r="C41" i="4"/>
  <c r="I16" i="2"/>
  <c r="L16" i="2" s="1"/>
  <c r="S25" i="2"/>
  <c r="S41" i="2"/>
  <c r="G53" i="2"/>
  <c r="I48" i="2"/>
  <c r="L48" i="2" s="1"/>
  <c r="U48" i="2"/>
  <c r="L45" i="2"/>
  <c r="I49" i="2"/>
  <c r="L49" i="2" s="1"/>
  <c r="U49" i="2"/>
  <c r="S18" i="8"/>
  <c r="T18" i="8" s="1"/>
  <c r="AF17" i="8"/>
  <c r="AG17" i="8" s="1"/>
  <c r="S12" i="9"/>
  <c r="I34" i="2"/>
  <c r="I26" i="2" s="1"/>
  <c r="C23" i="4"/>
  <c r="C14" i="4" s="1"/>
  <c r="O23" i="3"/>
  <c r="M22" i="2" s="1"/>
  <c r="M13" i="2" s="1"/>
  <c r="L8" i="11"/>
  <c r="C40" i="5"/>
  <c r="C54" i="5" s="1"/>
  <c r="H38" i="8"/>
  <c r="H34" i="8" s="1"/>
  <c r="H47" i="8" s="1"/>
  <c r="K33" i="9" s="1"/>
  <c r="AO5" i="10"/>
  <c r="AP5" i="10" s="1"/>
  <c r="AT5" i="10" s="1"/>
  <c r="AX5" i="10"/>
  <c r="AX8" i="10" s="1"/>
  <c r="C35" i="4"/>
  <c r="O35" i="3"/>
  <c r="M34" i="2" s="1"/>
  <c r="M26" i="2" s="1"/>
  <c r="L38" i="2"/>
  <c r="S41" i="8"/>
  <c r="T41" i="8" s="1"/>
  <c r="L9" i="11"/>
  <c r="Q43" i="12"/>
  <c r="Q39" i="12" s="1"/>
  <c r="P43" i="12"/>
  <c r="O51" i="3"/>
  <c r="M50" i="2" s="1"/>
  <c r="M39" i="2" s="1"/>
  <c r="H13" i="2"/>
  <c r="E183" i="1" s="1"/>
  <c r="I21" i="2"/>
  <c r="L21" i="2" s="1"/>
  <c r="I44" i="2"/>
  <c r="S30" i="8"/>
  <c r="T30" i="8" s="1"/>
  <c r="AT17" i="10"/>
  <c r="I36" i="2"/>
  <c r="L36" i="2" s="1"/>
  <c r="U36" i="2"/>
  <c r="U26" i="2" s="1"/>
  <c r="E129" i="1" s="1"/>
  <c r="J31" i="12"/>
  <c r="K31" i="12" s="1"/>
  <c r="Y31" i="12" s="1"/>
  <c r="W15" i="12"/>
  <c r="G5" i="11" s="1"/>
  <c r="W27" i="12"/>
  <c r="W40" i="12"/>
  <c r="W51" i="12"/>
  <c r="W16" i="12"/>
  <c r="G6" i="11" s="1"/>
  <c r="W28" i="12"/>
  <c r="W52" i="12"/>
  <c r="J21" i="12"/>
  <c r="K21" i="12" s="1"/>
  <c r="AY13" i="10"/>
  <c r="AY19" i="10" s="1"/>
  <c r="W23" i="12"/>
  <c r="W35" i="12"/>
  <c r="W47" i="12"/>
  <c r="W24" i="12"/>
  <c r="W36" i="12"/>
  <c r="W48" i="12"/>
  <c r="W14" i="12"/>
  <c r="W38" i="12"/>
  <c r="Y48" i="12" l="1"/>
  <c r="Y38" i="12"/>
  <c r="Y47" i="12"/>
  <c r="Y51" i="12"/>
  <c r="Y36" i="12"/>
  <c r="Y37" i="12"/>
  <c r="K39" i="12"/>
  <c r="H7" i="11"/>
  <c r="Y42" i="12"/>
  <c r="H6" i="11"/>
  <c r="H39" i="12"/>
  <c r="H53" i="12" s="1"/>
  <c r="H13" i="12"/>
  <c r="K15" i="12"/>
  <c r="H5" i="11" s="1"/>
  <c r="Y25" i="12"/>
  <c r="Z22" i="8"/>
  <c r="M24" i="8"/>
  <c r="O24" i="8" s="1"/>
  <c r="S24" i="8"/>
  <c r="T24" i="8" s="1"/>
  <c r="Z24" i="8" s="1"/>
  <c r="K21" i="8"/>
  <c r="T26" i="2"/>
  <c r="K26" i="12"/>
  <c r="K52" i="4"/>
  <c r="J52" i="3"/>
  <c r="S44" i="8"/>
  <c r="T44" i="8" s="1"/>
  <c r="R9" i="10"/>
  <c r="R13" i="10" s="1"/>
  <c r="Q13" i="10"/>
  <c r="T18" i="10"/>
  <c r="U14" i="10"/>
  <c r="U18" i="10" s="1"/>
  <c r="D44" i="5"/>
  <c r="H44" i="5" s="1"/>
  <c r="I44" i="5" s="1"/>
  <c r="E44" i="4"/>
  <c r="F44" i="4" s="1"/>
  <c r="H44" i="4" s="1"/>
  <c r="I44" i="4" s="1"/>
  <c r="J44" i="5" s="1"/>
  <c r="P19" i="12"/>
  <c r="Q19" i="12"/>
  <c r="K9" i="11" s="1"/>
  <c r="K7" i="9"/>
  <c r="S40" i="8"/>
  <c r="T40" i="8" s="1"/>
  <c r="K8" i="8"/>
  <c r="E18" i="5"/>
  <c r="H18" i="3"/>
  <c r="I18" i="3" s="1"/>
  <c r="V7" i="9"/>
  <c r="S17" i="8"/>
  <c r="T17" i="8" s="1"/>
  <c r="S27" i="8"/>
  <c r="T27" i="8" s="1"/>
  <c r="AF8" i="8"/>
  <c r="AO33" i="10"/>
  <c r="AP33" i="10" s="1"/>
  <c r="Y22" i="12"/>
  <c r="E29" i="5"/>
  <c r="I29" i="3"/>
  <c r="AR45" i="10"/>
  <c r="AR46" i="10" s="1"/>
  <c r="AS33" i="10"/>
  <c r="AS45" i="10" s="1"/>
  <c r="AS46" i="10" s="1"/>
  <c r="J6" i="11"/>
  <c r="H18" i="5"/>
  <c r="I18" i="5" s="1"/>
  <c r="K18" i="5" s="1"/>
  <c r="AF8" i="10"/>
  <c r="Y50" i="12"/>
  <c r="H43" i="3"/>
  <c r="I43" i="3" s="1"/>
  <c r="E43" i="5"/>
  <c r="H43" i="5" s="1"/>
  <c r="I43" i="5" s="1"/>
  <c r="K43" i="5" s="1"/>
  <c r="AF47" i="8"/>
  <c r="W42" i="8"/>
  <c r="AA42" i="8" s="1"/>
  <c r="AX19" i="10"/>
  <c r="AX46" i="10" s="1"/>
  <c r="G20" i="3"/>
  <c r="D20" i="5"/>
  <c r="H20" i="5" s="1"/>
  <c r="I20" i="5" s="1"/>
  <c r="K20" i="5" s="1"/>
  <c r="E20" i="4"/>
  <c r="F20" i="4" s="1"/>
  <c r="H20" i="4" s="1"/>
  <c r="I20" i="4" s="1"/>
  <c r="J20" i="5" s="1"/>
  <c r="AP9" i="10"/>
  <c r="AO13" i="10"/>
  <c r="Z19" i="10"/>
  <c r="M39" i="8"/>
  <c r="O39" i="8"/>
  <c r="Q18" i="12"/>
  <c r="K8" i="11" s="1"/>
  <c r="P18" i="12"/>
  <c r="I8" i="11" s="1"/>
  <c r="H46" i="3"/>
  <c r="E46" i="5"/>
  <c r="J32" i="3"/>
  <c r="K32" i="4"/>
  <c r="R4" i="10"/>
  <c r="R8" i="10" s="1"/>
  <c r="R19" i="10" s="1"/>
  <c r="Q8" i="10"/>
  <c r="Q19" i="10" s="1"/>
  <c r="Q33" i="10"/>
  <c r="R33" i="10" s="1"/>
  <c r="F31" i="5"/>
  <c r="L31" i="4"/>
  <c r="M31" i="4" s="1"/>
  <c r="N31" i="4" s="1"/>
  <c r="O31" i="4" s="1"/>
  <c r="O27" i="8"/>
  <c r="AF11" i="10"/>
  <c r="AE13" i="10"/>
  <c r="AE19" i="10" s="1"/>
  <c r="AE46" i="10" s="1"/>
  <c r="D30" i="5"/>
  <c r="H30" i="5" s="1"/>
  <c r="I30" i="5" s="1"/>
  <c r="K30" i="5" s="1"/>
  <c r="E30" i="4"/>
  <c r="F30" i="4" s="1"/>
  <c r="H30" i="4" s="1"/>
  <c r="I30" i="4" s="1"/>
  <c r="J30" i="5" s="1"/>
  <c r="G30" i="3"/>
  <c r="I30" i="3" s="1"/>
  <c r="W46" i="8"/>
  <c r="AA46" i="8" s="1"/>
  <c r="S26" i="2"/>
  <c r="E252" i="1" s="1"/>
  <c r="X22" i="8"/>
  <c r="Y19" i="10"/>
  <c r="Y46" i="10" s="1"/>
  <c r="U10" i="10"/>
  <c r="U13" i="10" s="1"/>
  <c r="T13" i="10"/>
  <c r="H33" i="3"/>
  <c r="L9" i="9"/>
  <c r="V9" i="9"/>
  <c r="E33" i="5"/>
  <c r="AE8" i="10"/>
  <c r="T8" i="10"/>
  <c r="D22" i="5"/>
  <c r="H22" i="5" s="1"/>
  <c r="I22" i="5" s="1"/>
  <c r="E22" i="4"/>
  <c r="F22" i="4" s="1"/>
  <c r="H22" i="4" s="1"/>
  <c r="I22" i="4" s="1"/>
  <c r="J22" i="5" s="1"/>
  <c r="G22" i="3"/>
  <c r="G49" i="3"/>
  <c r="E49" i="4"/>
  <c r="F49" i="4" s="1"/>
  <c r="H49" i="4" s="1"/>
  <c r="I49" i="4" s="1"/>
  <c r="J49" i="5" s="1"/>
  <c r="D49" i="5"/>
  <c r="H49" i="5" s="1"/>
  <c r="I49" i="5" s="1"/>
  <c r="K49" i="5" s="1"/>
  <c r="J8" i="11"/>
  <c r="D17" i="5"/>
  <c r="G17" i="3"/>
  <c r="E17" i="4"/>
  <c r="F17" i="4" s="1"/>
  <c r="H17" i="4" s="1"/>
  <c r="I17" i="4" s="1"/>
  <c r="J17" i="5" s="1"/>
  <c r="K6" i="9"/>
  <c r="L13" i="2"/>
  <c r="E37" i="4"/>
  <c r="F37" i="4" s="1"/>
  <c r="H37" i="4" s="1"/>
  <c r="I37" i="4" s="1"/>
  <c r="J37" i="5" s="1"/>
  <c r="G37" i="3"/>
  <c r="D37" i="5"/>
  <c r="H37" i="5" s="1"/>
  <c r="I37" i="5" s="1"/>
  <c r="W30" i="8"/>
  <c r="Z30" i="8"/>
  <c r="L44" i="2"/>
  <c r="I39" i="2"/>
  <c r="Z15" i="8"/>
  <c r="L34" i="2"/>
  <c r="T25" i="2"/>
  <c r="S13" i="2"/>
  <c r="Y24" i="12"/>
  <c r="S16" i="9"/>
  <c r="D38" i="5"/>
  <c r="H38" i="5" s="1"/>
  <c r="I38" i="5" s="1"/>
  <c r="G38" i="3"/>
  <c r="E38" i="4"/>
  <c r="F38" i="4" s="1"/>
  <c r="H38" i="4" s="1"/>
  <c r="I38" i="4" s="1"/>
  <c r="J38" i="5" s="1"/>
  <c r="T35" i="8"/>
  <c r="J51" i="3"/>
  <c r="K51" i="4"/>
  <c r="W36" i="8"/>
  <c r="Z36" i="8"/>
  <c r="C40" i="4"/>
  <c r="F41" i="4"/>
  <c r="K41" i="4"/>
  <c r="L41" i="4" s="1"/>
  <c r="Z32" i="8"/>
  <c r="W32" i="8"/>
  <c r="I6" i="11"/>
  <c r="Y29" i="12"/>
  <c r="K183" i="1"/>
  <c r="K185" i="1" s="1"/>
  <c r="H53" i="2"/>
  <c r="J34" i="3"/>
  <c r="K34" i="4"/>
  <c r="Q31" i="3"/>
  <c r="L31" i="3"/>
  <c r="N31" i="3" s="1"/>
  <c r="G33" i="3"/>
  <c r="E33" i="4"/>
  <c r="D33" i="5"/>
  <c r="L26" i="2"/>
  <c r="K9" i="9"/>
  <c r="Q15" i="3"/>
  <c r="N16" i="9"/>
  <c r="J41" i="3"/>
  <c r="Y21" i="12"/>
  <c r="E118" i="1"/>
  <c r="I21" i="3"/>
  <c r="Z18" i="8"/>
  <c r="U13" i="2"/>
  <c r="E127" i="1" s="1"/>
  <c r="K38" i="8"/>
  <c r="Y32" i="12"/>
  <c r="I9" i="11"/>
  <c r="AO36" i="10"/>
  <c r="R36" i="10"/>
  <c r="R45" i="10" s="1"/>
  <c r="O45" i="10"/>
  <c r="O46" i="10" s="1"/>
  <c r="AH36" i="10"/>
  <c r="AJ36" i="10" s="1"/>
  <c r="E25" i="5"/>
  <c r="Y16" i="12"/>
  <c r="Z28" i="8"/>
  <c r="W28" i="8"/>
  <c r="I19" i="3"/>
  <c r="I44" i="3"/>
  <c r="I13" i="2"/>
  <c r="Z46" i="10"/>
  <c r="E53" i="4"/>
  <c r="F53" i="4" s="1"/>
  <c r="H53" i="4" s="1"/>
  <c r="I53" i="4" s="1"/>
  <c r="J53" i="5" s="1"/>
  <c r="D53" i="5"/>
  <c r="H53" i="5" s="1"/>
  <c r="I53" i="5" s="1"/>
  <c r="K53" i="5" s="1"/>
  <c r="G53" i="3"/>
  <c r="U8" i="10"/>
  <c r="U19" i="10" s="1"/>
  <c r="U33" i="10"/>
  <c r="U45" i="10" s="1"/>
  <c r="U46" i="10" s="1"/>
  <c r="K36" i="4"/>
  <c r="J36" i="3"/>
  <c r="W44" i="8"/>
  <c r="Z44" i="8"/>
  <c r="Y17" i="12"/>
  <c r="J7" i="11"/>
  <c r="Z17" i="8"/>
  <c r="G4" i="11"/>
  <c r="W13" i="12"/>
  <c r="J5" i="11"/>
  <c r="B17" i="5"/>
  <c r="Z7" i="9"/>
  <c r="BA36" i="10"/>
  <c r="BA45" i="10" s="1"/>
  <c r="AZ45" i="10"/>
  <c r="AZ46" i="10" s="1"/>
  <c r="H8" i="11"/>
  <c r="Z31" i="8"/>
  <c r="W31" i="8"/>
  <c r="S8" i="8"/>
  <c r="T9" i="8"/>
  <c r="K7" i="11"/>
  <c r="J28" i="3"/>
  <c r="Q4" i="9" s="1"/>
  <c r="K28" i="4"/>
  <c r="P26" i="12"/>
  <c r="W39" i="8"/>
  <c r="Z39" i="8"/>
  <c r="W27" i="8"/>
  <c r="AA27" i="8" s="1"/>
  <c r="Z27" i="8"/>
  <c r="U14" i="12"/>
  <c r="T13" i="12"/>
  <c r="C27" i="4"/>
  <c r="Y52" i="12"/>
  <c r="E24" i="4"/>
  <c r="F24" i="4" s="1"/>
  <c r="H24" i="4" s="1"/>
  <c r="I24" i="4" s="1"/>
  <c r="J24" i="5" s="1"/>
  <c r="G24" i="3"/>
  <c r="D24" i="5"/>
  <c r="H24" i="5" s="1"/>
  <c r="I24" i="5" s="1"/>
  <c r="E19" i="5"/>
  <c r="H19" i="5" s="1"/>
  <c r="I19" i="5" s="1"/>
  <c r="K19" i="5" s="1"/>
  <c r="AT16" i="10"/>
  <c r="AT18" i="10" s="1"/>
  <c r="AP18" i="10"/>
  <c r="K48" i="5"/>
  <c r="W39" i="12"/>
  <c r="G46" i="3"/>
  <c r="D46" i="5"/>
  <c r="H46" i="5" s="1"/>
  <c r="I46" i="5" s="1"/>
  <c r="E46" i="4"/>
  <c r="F46" i="4" s="1"/>
  <c r="H46" i="4" s="1"/>
  <c r="I46" i="4" s="1"/>
  <c r="J46" i="5" s="1"/>
  <c r="O35" i="8"/>
  <c r="Z37" i="8"/>
  <c r="W37" i="8"/>
  <c r="AA37" i="8" s="1"/>
  <c r="I16" i="3"/>
  <c r="AG8" i="8"/>
  <c r="AG47" i="8" s="1"/>
  <c r="L33" i="9" s="1"/>
  <c r="T25" i="8"/>
  <c r="S21" i="8"/>
  <c r="Q26" i="12"/>
  <c r="D39" i="5"/>
  <c r="H39" i="5" s="1"/>
  <c r="I39" i="5" s="1"/>
  <c r="E39" i="4"/>
  <c r="F39" i="4" s="1"/>
  <c r="H39" i="4" s="1"/>
  <c r="I39" i="4" s="1"/>
  <c r="J39" i="5" s="1"/>
  <c r="G39" i="3"/>
  <c r="W43" i="8"/>
  <c r="Z43" i="8"/>
  <c r="H15" i="4"/>
  <c r="J34" i="9"/>
  <c r="J17" i="9"/>
  <c r="G50" i="3"/>
  <c r="E50" i="4"/>
  <c r="F50" i="4" s="1"/>
  <c r="H50" i="4" s="1"/>
  <c r="I50" i="4" s="1"/>
  <c r="J50" i="5" s="1"/>
  <c r="D50" i="5"/>
  <c r="H50" i="5" s="1"/>
  <c r="I50" i="5" s="1"/>
  <c r="W26" i="12"/>
  <c r="I7" i="11"/>
  <c r="Y43" i="12"/>
  <c r="P39" i="12"/>
  <c r="U39" i="2"/>
  <c r="Z14" i="8"/>
  <c r="I48" i="3"/>
  <c r="Y30" i="12"/>
  <c r="H16" i="5"/>
  <c r="AB42" i="8"/>
  <c r="H41" i="5"/>
  <c r="J28" i="5"/>
  <c r="L15" i="3"/>
  <c r="J9" i="11"/>
  <c r="AH8" i="10"/>
  <c r="AJ4" i="10"/>
  <c r="AG45" i="10"/>
  <c r="AG46" i="10" s="1"/>
  <c r="Y19" i="12"/>
  <c r="L15" i="4"/>
  <c r="F15" i="5"/>
  <c r="L16" i="11"/>
  <c r="U27" i="12"/>
  <c r="T26" i="12"/>
  <c r="Y35" i="12"/>
  <c r="W23" i="8"/>
  <c r="I23" i="3"/>
  <c r="J23" i="3" s="1"/>
  <c r="Q23" i="3" s="1"/>
  <c r="I47" i="3"/>
  <c r="AH14" i="10"/>
  <c r="AH18" i="10" s="1"/>
  <c r="AF18" i="10"/>
  <c r="AF33" i="10"/>
  <c r="AB46" i="8"/>
  <c r="AP4" i="10"/>
  <c r="AO8" i="10"/>
  <c r="W29" i="8"/>
  <c r="Z29" i="8"/>
  <c r="AB33" i="8"/>
  <c r="H27" i="3"/>
  <c r="J16" i="5"/>
  <c r="Z5" i="9"/>
  <c r="W41" i="8"/>
  <c r="AA41" i="8" s="1"/>
  <c r="Z41" i="8"/>
  <c r="F23" i="4"/>
  <c r="H23" i="4" s="1"/>
  <c r="I23" i="4" s="1"/>
  <c r="J23" i="5" s="1"/>
  <c r="K23" i="5" s="1"/>
  <c r="T41" i="2"/>
  <c r="S39" i="2"/>
  <c r="K47" i="5"/>
  <c r="U40" i="12"/>
  <c r="T39" i="12"/>
  <c r="T53" i="12" s="1"/>
  <c r="D25" i="5"/>
  <c r="E25" i="4"/>
  <c r="F25" i="4" s="1"/>
  <c r="H25" i="4" s="1"/>
  <c r="I25" i="4" s="1"/>
  <c r="J25" i="5" s="1"/>
  <c r="G25" i="3"/>
  <c r="AO18" i="10"/>
  <c r="W45" i="8"/>
  <c r="Z45" i="8"/>
  <c r="Y23" i="12"/>
  <c r="W53" i="12" l="1"/>
  <c r="M7" i="11"/>
  <c r="Q13" i="12"/>
  <c r="Q53" i="12" s="1"/>
  <c r="K16" i="11"/>
  <c r="I16" i="11"/>
  <c r="P13" i="12"/>
  <c r="M8" i="11"/>
  <c r="Y18" i="12"/>
  <c r="F8" i="11" s="1"/>
  <c r="K13" i="12"/>
  <c r="K53" i="12" s="1"/>
  <c r="Y15" i="12"/>
  <c r="F5" i="11" s="1"/>
  <c r="M5" i="11"/>
  <c r="K30" i="4"/>
  <c r="J30" i="3"/>
  <c r="AO19" i="10"/>
  <c r="Z40" i="8"/>
  <c r="W40" i="8"/>
  <c r="AA40" i="8" s="1"/>
  <c r="AA39" i="8"/>
  <c r="AA30" i="8"/>
  <c r="F32" i="5"/>
  <c r="L32" i="4"/>
  <c r="M32" i="4" s="1"/>
  <c r="N32" i="4" s="1"/>
  <c r="O32" i="4" s="1"/>
  <c r="AT9" i="10"/>
  <c r="AT13" i="10" s="1"/>
  <c r="AP13" i="10"/>
  <c r="L52" i="4"/>
  <c r="M52" i="4" s="1"/>
  <c r="N52" i="4" s="1"/>
  <c r="O52" i="4" s="1"/>
  <c r="F52" i="5"/>
  <c r="Z6" i="9"/>
  <c r="K38" i="5"/>
  <c r="K37" i="5"/>
  <c r="Q32" i="3"/>
  <c r="L32" i="3"/>
  <c r="N32" i="3" s="1"/>
  <c r="Q52" i="3"/>
  <c r="L52" i="3"/>
  <c r="M6" i="11"/>
  <c r="H25" i="5"/>
  <c r="I25" i="5" s="1"/>
  <c r="K25" i="5" s="1"/>
  <c r="F9" i="11"/>
  <c r="AA44" i="8"/>
  <c r="AA28" i="8"/>
  <c r="AF13" i="10"/>
  <c r="AF19" i="10" s="1"/>
  <c r="AH11" i="10"/>
  <c r="L23" i="3"/>
  <c r="N23" i="3" s="1"/>
  <c r="N22" i="2" s="1"/>
  <c r="O22" i="2" s="1"/>
  <c r="F6" i="11"/>
  <c r="I20" i="3"/>
  <c r="K18" i="4"/>
  <c r="J18" i="3"/>
  <c r="K44" i="5"/>
  <c r="E250" i="1"/>
  <c r="X21" i="8"/>
  <c r="X47" i="8" s="1"/>
  <c r="L22" i="8"/>
  <c r="M22" i="8" s="1"/>
  <c r="J29" i="3"/>
  <c r="K29" i="4"/>
  <c r="E27" i="5"/>
  <c r="T19" i="10"/>
  <c r="T46" i="10" s="1"/>
  <c r="W24" i="8"/>
  <c r="AA24" i="8" s="1"/>
  <c r="AB24" i="8" s="1"/>
  <c r="M9" i="11"/>
  <c r="K46" i="5"/>
  <c r="AA31" i="8"/>
  <c r="R46" i="10"/>
  <c r="AA45" i="8"/>
  <c r="Q45" i="10"/>
  <c r="Q46" i="10" s="1"/>
  <c r="J43" i="3"/>
  <c r="K43" i="4"/>
  <c r="H29" i="5"/>
  <c r="I29" i="5" s="1"/>
  <c r="K29" i="5" s="1"/>
  <c r="AF45" i="10"/>
  <c r="AH33" i="10"/>
  <c r="I24" i="3"/>
  <c r="G16" i="11"/>
  <c r="AB44" i="8"/>
  <c r="C54" i="4"/>
  <c r="Q36" i="3"/>
  <c r="L36" i="3"/>
  <c r="N36" i="3" s="1"/>
  <c r="AA36" i="8"/>
  <c r="BA46" i="10"/>
  <c r="E254" i="1"/>
  <c r="S53" i="2"/>
  <c r="K127" i="1"/>
  <c r="K129" i="1" s="1"/>
  <c r="U53" i="2"/>
  <c r="F14" i="4"/>
  <c r="F28" i="5"/>
  <c r="L28" i="4"/>
  <c r="J44" i="3"/>
  <c r="K44" i="4"/>
  <c r="L51" i="4"/>
  <c r="M51" i="4" s="1"/>
  <c r="N51" i="4" s="1"/>
  <c r="O51" i="4" s="1"/>
  <c r="F51" i="5"/>
  <c r="I46" i="3"/>
  <c r="AB45" i="8"/>
  <c r="T39" i="2"/>
  <c r="E42" i="5"/>
  <c r="L5" i="9"/>
  <c r="L16" i="9" s="1"/>
  <c r="H42" i="3"/>
  <c r="V5" i="9"/>
  <c r="V16" i="9" s="1"/>
  <c r="V34" i="9" s="1"/>
  <c r="K28" i="5"/>
  <c r="P53" i="12"/>
  <c r="I15" i="4"/>
  <c r="H14" i="4"/>
  <c r="E225" i="1" s="1"/>
  <c r="K16" i="4"/>
  <c r="J16" i="3"/>
  <c r="Q28" i="3"/>
  <c r="L28" i="3"/>
  <c r="H33" i="5"/>
  <c r="Q51" i="3"/>
  <c r="L51" i="3"/>
  <c r="N51" i="3" s="1"/>
  <c r="H26" i="3"/>
  <c r="T13" i="2"/>
  <c r="E116" i="1" s="1"/>
  <c r="T21" i="8"/>
  <c r="Z25" i="8"/>
  <c r="W25" i="8"/>
  <c r="I41" i="5"/>
  <c r="F7" i="11"/>
  <c r="AP36" i="10"/>
  <c r="AP45" i="10" s="1"/>
  <c r="AO45" i="10"/>
  <c r="AO46" i="10" s="1"/>
  <c r="F33" i="4"/>
  <c r="Z35" i="8"/>
  <c r="W35" i="8"/>
  <c r="D35" i="5"/>
  <c r="H35" i="5" s="1"/>
  <c r="G35" i="3"/>
  <c r="E35" i="4"/>
  <c r="F35" i="4" s="1"/>
  <c r="H35" i="4" s="1"/>
  <c r="I35" i="4" s="1"/>
  <c r="J35" i="5" s="1"/>
  <c r="M15" i="4"/>
  <c r="L36" i="4"/>
  <c r="M36" i="4" s="1"/>
  <c r="N36" i="4" s="1"/>
  <c r="O36" i="4" s="1"/>
  <c r="F36" i="5"/>
  <c r="I37" i="3"/>
  <c r="K19" i="4"/>
  <c r="J19" i="3"/>
  <c r="I33" i="3"/>
  <c r="G27" i="3"/>
  <c r="AA32" i="8"/>
  <c r="I49" i="3"/>
  <c r="J21" i="3"/>
  <c r="K21" i="4"/>
  <c r="M17" i="8"/>
  <c r="O17" i="8" s="1"/>
  <c r="W17" i="8" s="1"/>
  <c r="AA17" i="8" s="1"/>
  <c r="AB17" i="8" s="1"/>
  <c r="R23" i="3"/>
  <c r="S23" i="3" s="1"/>
  <c r="AA43" i="8"/>
  <c r="AB43" i="8" s="1"/>
  <c r="AA29" i="8"/>
  <c r="AB29" i="8" s="1"/>
  <c r="AA23" i="8"/>
  <c r="I39" i="3"/>
  <c r="AB37" i="8"/>
  <c r="V14" i="12"/>
  <c r="U13" i="12"/>
  <c r="T8" i="8"/>
  <c r="Q19" i="9"/>
  <c r="Q32" i="9" s="1"/>
  <c r="Z9" i="8"/>
  <c r="I53" i="3"/>
  <c r="R31" i="3"/>
  <c r="S31" i="3" s="1"/>
  <c r="N30" i="2"/>
  <c r="AB32" i="8"/>
  <c r="I22" i="3"/>
  <c r="J48" i="3"/>
  <c r="K48" i="4"/>
  <c r="N15" i="3"/>
  <c r="K23" i="4"/>
  <c r="I25" i="3"/>
  <c r="AB41" i="8"/>
  <c r="I16" i="5"/>
  <c r="K50" i="5"/>
  <c r="AB27" i="8"/>
  <c r="E17" i="5"/>
  <c r="E14" i="5" s="1"/>
  <c r="X11" i="9"/>
  <c r="AA7" i="9"/>
  <c r="Y7" i="9" s="1"/>
  <c r="X12" i="9"/>
  <c r="X10" i="9"/>
  <c r="X13" i="9"/>
  <c r="X9" i="9"/>
  <c r="X7" i="9"/>
  <c r="X4" i="9"/>
  <c r="L30" i="4"/>
  <c r="M30" i="4" s="1"/>
  <c r="N30" i="4" s="1"/>
  <c r="O30" i="4" s="1"/>
  <c r="F30" i="5"/>
  <c r="M38" i="8"/>
  <c r="M34" i="8" s="1"/>
  <c r="O38" i="8"/>
  <c r="O34" i="8" s="1"/>
  <c r="K34" i="8"/>
  <c r="K47" i="8" s="1"/>
  <c r="S38" i="8"/>
  <c r="Q41" i="3"/>
  <c r="L41" i="3"/>
  <c r="M41" i="4"/>
  <c r="I53" i="2"/>
  <c r="I17" i="3"/>
  <c r="S34" i="9"/>
  <c r="S17" i="9"/>
  <c r="V40" i="12"/>
  <c r="U39" i="12"/>
  <c r="J47" i="3"/>
  <c r="K47" i="4"/>
  <c r="G14" i="3"/>
  <c r="AP8" i="10"/>
  <c r="AP19" i="10" s="1"/>
  <c r="AT4" i="10"/>
  <c r="AM4" i="10"/>
  <c r="AJ8" i="10"/>
  <c r="AG9" i="10"/>
  <c r="D14" i="5"/>
  <c r="Q30" i="3"/>
  <c r="L30" i="3"/>
  <c r="N30" i="3" s="1"/>
  <c r="AB28" i="8"/>
  <c r="N34" i="9"/>
  <c r="N17" i="9"/>
  <c r="F34" i="5"/>
  <c r="L34" i="4"/>
  <c r="M34" i="4" s="1"/>
  <c r="N34" i="4" s="1"/>
  <c r="O34" i="4" s="1"/>
  <c r="F41" i="5"/>
  <c r="W4" i="9" s="1"/>
  <c r="D45" i="5"/>
  <c r="G45" i="3"/>
  <c r="E45" i="4"/>
  <c r="L39" i="2"/>
  <c r="L53" i="2" s="1"/>
  <c r="K8" i="9"/>
  <c r="K16" i="9" s="1"/>
  <c r="K34" i="9" s="1"/>
  <c r="H17" i="5"/>
  <c r="I17" i="5" s="1"/>
  <c r="K17" i="5" s="1"/>
  <c r="AA6" i="9" s="1"/>
  <c r="Y6" i="9" s="1"/>
  <c r="AB36" i="8"/>
  <c r="E14" i="4"/>
  <c r="U26" i="12"/>
  <c r="V27" i="12"/>
  <c r="I50" i="3"/>
  <c r="K39" i="5"/>
  <c r="K24" i="5"/>
  <c r="AB39" i="8"/>
  <c r="AB31" i="8"/>
  <c r="H16" i="11"/>
  <c r="Q34" i="3"/>
  <c r="L34" i="3"/>
  <c r="N34" i="3" s="1"/>
  <c r="H41" i="4"/>
  <c r="I38" i="3"/>
  <c r="AB30" i="8"/>
  <c r="K22" i="5"/>
  <c r="L18" i="3" l="1"/>
  <c r="N18" i="3" s="1"/>
  <c r="Q18" i="3"/>
  <c r="F18" i="5"/>
  <c r="L18" i="4"/>
  <c r="M18" i="4" s="1"/>
  <c r="N18" i="4" s="1"/>
  <c r="O18" i="4" s="1"/>
  <c r="R52" i="3"/>
  <c r="S52" i="3"/>
  <c r="AF46" i="10"/>
  <c r="J20" i="3"/>
  <c r="K20" i="4"/>
  <c r="R32" i="3"/>
  <c r="N31" i="2"/>
  <c r="O31" i="2" s="1"/>
  <c r="S32" i="3"/>
  <c r="Z11" i="9"/>
  <c r="K250" i="1"/>
  <c r="F43" i="5"/>
  <c r="L43" i="4"/>
  <c r="M43" i="4" s="1"/>
  <c r="N43" i="4" s="1"/>
  <c r="O43" i="4" s="1"/>
  <c r="L29" i="4"/>
  <c r="M29" i="4" s="1"/>
  <c r="N29" i="4" s="1"/>
  <c r="O29" i="4" s="1"/>
  <c r="F29" i="5"/>
  <c r="AJ11" i="10"/>
  <c r="AM11" i="10" s="1"/>
  <c r="AH13" i="10"/>
  <c r="AH19" i="10" s="1"/>
  <c r="AB40" i="8"/>
  <c r="Q43" i="3"/>
  <c r="L43" i="3"/>
  <c r="N43" i="3" s="1"/>
  <c r="Q29" i="3"/>
  <c r="R29" i="3" s="1"/>
  <c r="S29" i="3" s="1"/>
  <c r="L29" i="3"/>
  <c r="N29" i="3" s="1"/>
  <c r="N28" i="2" s="1"/>
  <c r="O28" i="2" s="1"/>
  <c r="Z10" i="9"/>
  <c r="M21" i="8"/>
  <c r="O22" i="8"/>
  <c r="H45" i="5"/>
  <c r="D40" i="5"/>
  <c r="V39" i="12"/>
  <c r="Y40" i="12"/>
  <c r="Y39" i="12" s="1"/>
  <c r="T38" i="8"/>
  <c r="S34" i="8"/>
  <c r="S47" i="8" s="1"/>
  <c r="V13" i="12"/>
  <c r="J4" i="11"/>
  <c r="Y14" i="12"/>
  <c r="F21" i="5"/>
  <c r="L21" i="4"/>
  <c r="M21" i="4" s="1"/>
  <c r="N21" i="4" s="1"/>
  <c r="O21" i="4" s="1"/>
  <c r="AA25" i="8"/>
  <c r="L34" i="9"/>
  <c r="L118" i="1" s="1"/>
  <c r="Z13" i="9"/>
  <c r="N35" i="2"/>
  <c r="O35" i="2" s="1"/>
  <c r="R36" i="3"/>
  <c r="J25" i="3"/>
  <c r="K25" i="4"/>
  <c r="O30" i="2"/>
  <c r="E27" i="4"/>
  <c r="Q16" i="3"/>
  <c r="L16" i="3"/>
  <c r="K116" i="1"/>
  <c r="K118" i="1" s="1"/>
  <c r="T53" i="2"/>
  <c r="L17" i="9" s="1"/>
  <c r="M28" i="4"/>
  <c r="AM8" i="10"/>
  <c r="X6" i="9"/>
  <c r="F23" i="5"/>
  <c r="L23" i="4"/>
  <c r="M23" i="4" s="1"/>
  <c r="N23" i="4" s="1"/>
  <c r="O23" i="4" s="1"/>
  <c r="K39" i="4"/>
  <c r="J39" i="3"/>
  <c r="K49" i="4"/>
  <c r="J49" i="3"/>
  <c r="H33" i="4"/>
  <c r="F27" i="4"/>
  <c r="F16" i="5"/>
  <c r="L16" i="4"/>
  <c r="J37" i="3"/>
  <c r="K37" i="4"/>
  <c r="M9" i="8"/>
  <c r="N14" i="2"/>
  <c r="R15" i="3"/>
  <c r="J53" i="3"/>
  <c r="K53" i="4"/>
  <c r="N15" i="4"/>
  <c r="I26" i="3"/>
  <c r="H14" i="3"/>
  <c r="J46" i="3"/>
  <c r="K46" i="4"/>
  <c r="AG13" i="10"/>
  <c r="AJ9" i="10"/>
  <c r="AB25" i="8"/>
  <c r="Z21" i="8"/>
  <c r="AT8" i="10"/>
  <c r="AT19" i="10" s="1"/>
  <c r="AT33" i="10"/>
  <c r="AT45" i="10" s="1"/>
  <c r="J17" i="3"/>
  <c r="K17" i="4"/>
  <c r="AA13" i="9"/>
  <c r="AB23" i="8"/>
  <c r="AP46" i="10"/>
  <c r="N50" i="2"/>
  <c r="O50" i="2" s="1"/>
  <c r="R51" i="3"/>
  <c r="R14" i="9"/>
  <c r="I14" i="4"/>
  <c r="E99" i="1" s="1"/>
  <c r="J15" i="5"/>
  <c r="S51" i="3"/>
  <c r="J50" i="3"/>
  <c r="K50" i="4"/>
  <c r="N41" i="4"/>
  <c r="J33" i="3"/>
  <c r="K33" i="4"/>
  <c r="Z12" i="9"/>
  <c r="I33" i="5"/>
  <c r="H27" i="5"/>
  <c r="E218" i="1" s="1"/>
  <c r="J24" i="3"/>
  <c r="K24" i="4"/>
  <c r="J38" i="3"/>
  <c r="K38" i="4"/>
  <c r="R30" i="3"/>
  <c r="S30" i="3" s="1"/>
  <c r="N29" i="2"/>
  <c r="O29" i="2" s="1"/>
  <c r="F48" i="5"/>
  <c r="L48" i="4"/>
  <c r="M48" i="4" s="1"/>
  <c r="N48" i="4" s="1"/>
  <c r="O48" i="4" s="1"/>
  <c r="Z8" i="8"/>
  <c r="I35" i="3"/>
  <c r="I27" i="3" s="1"/>
  <c r="E178" i="1" s="1"/>
  <c r="D27" i="5"/>
  <c r="AJ33" i="10"/>
  <c r="AJ45" i="10" s="1"/>
  <c r="AH45" i="10"/>
  <c r="AH46" i="10" s="1"/>
  <c r="H42" i="5"/>
  <c r="E40" i="5"/>
  <c r="E54" i="5" s="1"/>
  <c r="H14" i="5"/>
  <c r="E216" i="1" s="1"/>
  <c r="Q48" i="3"/>
  <c r="L48" i="3"/>
  <c r="N48" i="3" s="1"/>
  <c r="Q19" i="3"/>
  <c r="L19" i="3"/>
  <c r="N19" i="3" s="1"/>
  <c r="S36" i="3"/>
  <c r="F45" i="4"/>
  <c r="E40" i="4"/>
  <c r="Q47" i="3"/>
  <c r="L47" i="3"/>
  <c r="N47" i="3" s="1"/>
  <c r="K22" i="4"/>
  <c r="J22" i="3"/>
  <c r="F19" i="5"/>
  <c r="L19" i="4"/>
  <c r="M19" i="4" s="1"/>
  <c r="N19" i="4" s="1"/>
  <c r="O19" i="4" s="1"/>
  <c r="I35" i="5"/>
  <c r="K35" i="5" s="1"/>
  <c r="X14" i="9"/>
  <c r="N28" i="3"/>
  <c r="F44" i="5"/>
  <c r="L44" i="4"/>
  <c r="M44" i="4" s="1"/>
  <c r="N44" i="4" s="1"/>
  <c r="O44" i="4" s="1"/>
  <c r="AC7" i="9" s="1"/>
  <c r="Q21" i="3"/>
  <c r="L21" i="3"/>
  <c r="N21" i="3" s="1"/>
  <c r="I41" i="4"/>
  <c r="V26" i="12"/>
  <c r="Y27" i="12"/>
  <c r="Y26" i="12" s="1"/>
  <c r="E134" i="1" s="1"/>
  <c r="F47" i="5"/>
  <c r="L47" i="4"/>
  <c r="M47" i="4" s="1"/>
  <c r="N47" i="4" s="1"/>
  <c r="O47" i="4" s="1"/>
  <c r="N41" i="3"/>
  <c r="N33" i="2"/>
  <c r="O33" i="2" s="1"/>
  <c r="R34" i="3"/>
  <c r="S34" i="3" s="1"/>
  <c r="I45" i="3"/>
  <c r="G40" i="3"/>
  <c r="G54" i="3" s="1"/>
  <c r="K17" i="9" s="1"/>
  <c r="U53" i="12"/>
  <c r="K16" i="5"/>
  <c r="I14" i="5"/>
  <c r="Z14" i="9"/>
  <c r="AA35" i="8"/>
  <c r="H40" i="3"/>
  <c r="H54" i="3" s="1"/>
  <c r="I42" i="3"/>
  <c r="Q44" i="3"/>
  <c r="Q7" i="9"/>
  <c r="L44" i="3"/>
  <c r="N44" i="3" s="1"/>
  <c r="R6" i="9" l="1"/>
  <c r="N42" i="2"/>
  <c r="O42" i="2" s="1"/>
  <c r="R43" i="3"/>
  <c r="S43" i="3" s="1"/>
  <c r="E54" i="4"/>
  <c r="L20" i="4"/>
  <c r="M20" i="4" s="1"/>
  <c r="N20" i="4" s="1"/>
  <c r="O20" i="4" s="1"/>
  <c r="F20" i="5"/>
  <c r="Q20" i="3"/>
  <c r="L20" i="3"/>
  <c r="N20" i="3" s="1"/>
  <c r="W22" i="8"/>
  <c r="O21" i="8"/>
  <c r="M118" i="1"/>
  <c r="R18" i="3"/>
  <c r="S18" i="3" s="1"/>
  <c r="M12" i="8"/>
  <c r="O12" i="8" s="1"/>
  <c r="W12" i="8" s="1"/>
  <c r="AA12" i="8" s="1"/>
  <c r="AB12" i="8" s="1"/>
  <c r="N17" i="2"/>
  <c r="O17" i="2" s="1"/>
  <c r="F38" i="5"/>
  <c r="L38" i="4"/>
  <c r="M38" i="4" s="1"/>
  <c r="N38" i="4" s="1"/>
  <c r="O38" i="4" s="1"/>
  <c r="N20" i="2"/>
  <c r="O20" i="2" s="1"/>
  <c r="R21" i="3"/>
  <c r="M15" i="8"/>
  <c r="O15" i="8" s="1"/>
  <c r="W15" i="8" s="1"/>
  <c r="AA15" i="8" s="1"/>
  <c r="AB15" i="8" s="1"/>
  <c r="AG14" i="10"/>
  <c r="AJ13" i="10"/>
  <c r="AM9" i="10"/>
  <c r="S15" i="3"/>
  <c r="L49" i="4"/>
  <c r="M49" i="4" s="1"/>
  <c r="N49" i="4" s="1"/>
  <c r="O49" i="4" s="1"/>
  <c r="F49" i="5"/>
  <c r="L25" i="4"/>
  <c r="M25" i="4" s="1"/>
  <c r="N25" i="4" s="1"/>
  <c r="O25" i="4" s="1"/>
  <c r="F25" i="5"/>
  <c r="W9" i="9" s="1"/>
  <c r="F39" i="5"/>
  <c r="L39" i="4"/>
  <c r="M39" i="4" s="1"/>
  <c r="N39" i="4" s="1"/>
  <c r="O39" i="4" s="1"/>
  <c r="J41" i="5"/>
  <c r="Q25" i="3"/>
  <c r="L25" i="3"/>
  <c r="N25" i="3" s="1"/>
  <c r="O41" i="4"/>
  <c r="F46" i="5"/>
  <c r="L46" i="4"/>
  <c r="M46" i="4" s="1"/>
  <c r="N46" i="4" s="1"/>
  <c r="O46" i="4" s="1"/>
  <c r="O9" i="8"/>
  <c r="J45" i="3"/>
  <c r="K45" i="4"/>
  <c r="AA12" i="9"/>
  <c r="Y12" i="9" s="1"/>
  <c r="AA11" i="9"/>
  <c r="Y11" i="9" s="1"/>
  <c r="N18" i="2"/>
  <c r="M13" i="8"/>
  <c r="O13" i="8" s="1"/>
  <c r="W13" i="8" s="1"/>
  <c r="AA13" i="8" s="1"/>
  <c r="AB13" i="8" s="1"/>
  <c r="R19" i="3"/>
  <c r="F24" i="5"/>
  <c r="L24" i="4"/>
  <c r="M24" i="4" s="1"/>
  <c r="N24" i="4" s="1"/>
  <c r="O24" i="4" s="1"/>
  <c r="F50" i="5"/>
  <c r="L50" i="4"/>
  <c r="M50" i="4" s="1"/>
  <c r="N50" i="4" s="1"/>
  <c r="O50" i="4" s="1"/>
  <c r="Q46" i="3"/>
  <c r="L46" i="3"/>
  <c r="N46" i="3" s="1"/>
  <c r="F37" i="5"/>
  <c r="L37" i="4"/>
  <c r="M37" i="4" s="1"/>
  <c r="N37" i="4" s="1"/>
  <c r="O37" i="4" s="1"/>
  <c r="W38" i="8"/>
  <c r="Z38" i="8"/>
  <c r="T34" i="8"/>
  <c r="T47" i="8" s="1"/>
  <c r="Q33" i="9" s="1"/>
  <c r="H45" i="4"/>
  <c r="F40" i="4"/>
  <c r="F54" i="4" s="1"/>
  <c r="O14" i="2"/>
  <c r="Q50" i="3"/>
  <c r="L50" i="3"/>
  <c r="N50" i="3" s="1"/>
  <c r="Y13" i="9"/>
  <c r="K132" i="1"/>
  <c r="K26" i="4"/>
  <c r="K14" i="4" s="1"/>
  <c r="J26" i="3"/>
  <c r="I14" i="3"/>
  <c r="E176" i="1" s="1"/>
  <c r="W8" i="9"/>
  <c r="N16" i="3"/>
  <c r="V53" i="12"/>
  <c r="J42" i="3"/>
  <c r="K42" i="4"/>
  <c r="I40" i="3"/>
  <c r="Q39" i="3"/>
  <c r="L39" i="3"/>
  <c r="N39" i="3" s="1"/>
  <c r="Q38" i="3"/>
  <c r="L38" i="3"/>
  <c r="N38" i="3" s="1"/>
  <c r="R4" i="9"/>
  <c r="R41" i="3"/>
  <c r="N40" i="2"/>
  <c r="Q22" i="3"/>
  <c r="L22" i="3"/>
  <c r="N22" i="3" s="1"/>
  <c r="J35" i="3"/>
  <c r="J27" i="3" s="1"/>
  <c r="K35" i="4"/>
  <c r="F17" i="5"/>
  <c r="W5" i="9" s="1"/>
  <c r="L17" i="4"/>
  <c r="M17" i="4" s="1"/>
  <c r="N17" i="4" s="1"/>
  <c r="O17" i="4" s="1"/>
  <c r="AC6" i="9" s="1"/>
  <c r="O15" i="4"/>
  <c r="D54" i="5"/>
  <c r="I42" i="5"/>
  <c r="H40" i="5"/>
  <c r="X5" i="9"/>
  <c r="X16" i="9" s="1"/>
  <c r="X34" i="9" s="1"/>
  <c r="N28" i="4"/>
  <c r="Q24" i="3"/>
  <c r="L24" i="3"/>
  <c r="N24" i="3" s="1"/>
  <c r="Q37" i="3"/>
  <c r="L37" i="3"/>
  <c r="N37" i="3" s="1"/>
  <c r="S21" i="3"/>
  <c r="S19" i="3"/>
  <c r="L22" i="4"/>
  <c r="M22" i="4" s="1"/>
  <c r="N22" i="4" s="1"/>
  <c r="O22" i="4" s="1"/>
  <c r="F22" i="5"/>
  <c r="R48" i="3"/>
  <c r="S48" i="3" s="1"/>
  <c r="N47" i="2"/>
  <c r="O47" i="2" s="1"/>
  <c r="R11" i="9"/>
  <c r="I27" i="5"/>
  <c r="Q17" i="3"/>
  <c r="Q6" i="9"/>
  <c r="L17" i="3"/>
  <c r="N17" i="3" s="1"/>
  <c r="M16" i="4"/>
  <c r="AA10" i="9"/>
  <c r="Y10" i="9" s="1"/>
  <c r="I45" i="5"/>
  <c r="X8" i="9"/>
  <c r="R28" i="3"/>
  <c r="N27" i="2"/>
  <c r="U4" i="9" s="1"/>
  <c r="J14" i="5"/>
  <c r="K15" i="5"/>
  <c r="AT46" i="10"/>
  <c r="Z4" i="9"/>
  <c r="F53" i="5"/>
  <c r="L53" i="4"/>
  <c r="M53" i="4" s="1"/>
  <c r="N53" i="4" s="1"/>
  <c r="O53" i="4" s="1"/>
  <c r="W7" i="9"/>
  <c r="R47" i="3"/>
  <c r="S47" i="3" s="1"/>
  <c r="R10" i="9"/>
  <c r="N46" i="2"/>
  <c r="O46" i="2" s="1"/>
  <c r="F33" i="5"/>
  <c r="L33" i="4"/>
  <c r="K27" i="4"/>
  <c r="Q53" i="3"/>
  <c r="L53" i="3"/>
  <c r="N53" i="3" s="1"/>
  <c r="I33" i="4"/>
  <c r="H27" i="4"/>
  <c r="E227" i="1" s="1"/>
  <c r="F4" i="11"/>
  <c r="F16" i="11" s="1"/>
  <c r="Y13" i="12"/>
  <c r="E132" i="1" s="1"/>
  <c r="AA14" i="9"/>
  <c r="Y14" i="9" s="1"/>
  <c r="R7" i="9"/>
  <c r="R44" i="3"/>
  <c r="N43" i="2"/>
  <c r="Q33" i="3"/>
  <c r="Q9" i="9"/>
  <c r="L33" i="3"/>
  <c r="Q49" i="3"/>
  <c r="L49" i="3"/>
  <c r="N49" i="3" s="1"/>
  <c r="AB35" i="8"/>
  <c r="J16" i="11"/>
  <c r="M4" i="11"/>
  <c r="M16" i="11" s="1"/>
  <c r="T7" i="9" l="1"/>
  <c r="S44" i="3"/>
  <c r="AA22" i="8"/>
  <c r="W21" i="8"/>
  <c r="N19" i="2"/>
  <c r="O19" i="2" s="1"/>
  <c r="M14" i="8"/>
  <c r="O14" i="8" s="1"/>
  <c r="W14" i="8" s="1"/>
  <c r="AA14" i="8" s="1"/>
  <c r="AB14" i="8" s="1"/>
  <c r="R20" i="3"/>
  <c r="S20" i="3" s="1"/>
  <c r="Q10" i="9"/>
  <c r="F35" i="5"/>
  <c r="L35" i="4"/>
  <c r="M35" i="4" s="1"/>
  <c r="N35" i="4" s="1"/>
  <c r="O35" i="4" s="1"/>
  <c r="K134" i="1"/>
  <c r="AM13" i="10"/>
  <c r="Q13" i="9"/>
  <c r="AG18" i="10"/>
  <c r="AG19" i="10" s="1"/>
  <c r="AJ14" i="10"/>
  <c r="R12" i="9"/>
  <c r="R49" i="3"/>
  <c r="N48" i="2"/>
  <c r="O48" i="2" s="1"/>
  <c r="R9" i="9"/>
  <c r="N45" i="2"/>
  <c r="O45" i="2" s="1"/>
  <c r="R46" i="3"/>
  <c r="S46" i="3" s="1"/>
  <c r="Q11" i="9"/>
  <c r="O40" i="2"/>
  <c r="Q45" i="3"/>
  <c r="L45" i="3"/>
  <c r="N45" i="3" s="1"/>
  <c r="Q8" i="9"/>
  <c r="Q12" i="9"/>
  <c r="R13" i="9"/>
  <c r="N49" i="2"/>
  <c r="O49" i="2" s="1"/>
  <c r="R50" i="3"/>
  <c r="K14" i="5"/>
  <c r="E84" i="1" s="1"/>
  <c r="N16" i="4"/>
  <c r="K42" i="5"/>
  <c r="AA5" i="9" s="1"/>
  <c r="Y5" i="9" s="1"/>
  <c r="I40" i="5"/>
  <c r="I54" i="5" s="1"/>
  <c r="Q42" i="3"/>
  <c r="L42" i="3"/>
  <c r="J40" i="3"/>
  <c r="Q5" i="9"/>
  <c r="N33" i="3"/>
  <c r="J33" i="5"/>
  <c r="Z9" i="9"/>
  <c r="I27" i="4"/>
  <c r="E101" i="1" s="1"/>
  <c r="N16" i="2"/>
  <c r="M11" i="8"/>
  <c r="O11" i="8" s="1"/>
  <c r="W11" i="8" s="1"/>
  <c r="AA11" i="8" s="1"/>
  <c r="AB11" i="8" s="1"/>
  <c r="R17" i="3"/>
  <c r="T6" i="9" s="1"/>
  <c r="S41" i="3"/>
  <c r="R16" i="3"/>
  <c r="M10" i="8"/>
  <c r="N15" i="2"/>
  <c r="W9" i="8"/>
  <c r="K176" i="1"/>
  <c r="K178" i="1" s="1"/>
  <c r="I54" i="3"/>
  <c r="F45" i="5"/>
  <c r="W6" i="9" s="1"/>
  <c r="L45" i="4"/>
  <c r="M45" i="4" s="1"/>
  <c r="N45" i="4" s="1"/>
  <c r="O45" i="4" s="1"/>
  <c r="AC8" i="9" s="1"/>
  <c r="Q35" i="3"/>
  <c r="L35" i="3"/>
  <c r="N35" i="3" s="1"/>
  <c r="E220" i="1"/>
  <c r="K216" i="1" s="1"/>
  <c r="H54" i="5"/>
  <c r="N52" i="2"/>
  <c r="O52" i="2" s="1"/>
  <c r="R53" i="3"/>
  <c r="S53" i="3" s="1"/>
  <c r="O27" i="2"/>
  <c r="R37" i="3"/>
  <c r="S37" i="3" s="1"/>
  <c r="N36" i="2"/>
  <c r="O36" i="2" s="1"/>
  <c r="I45" i="4"/>
  <c r="H40" i="4"/>
  <c r="S28" i="3"/>
  <c r="R38" i="3"/>
  <c r="S38" i="3" s="1"/>
  <c r="N37" i="2"/>
  <c r="O37" i="2" s="1"/>
  <c r="Q26" i="3"/>
  <c r="L26" i="3"/>
  <c r="N26" i="3" s="1"/>
  <c r="N14" i="3" s="1"/>
  <c r="N21" i="2"/>
  <c r="O21" i="2" s="1"/>
  <c r="M16" i="8"/>
  <c r="O16" i="8" s="1"/>
  <c r="W16" i="8" s="1"/>
  <c r="AA16" i="8" s="1"/>
  <c r="AB16" i="8" s="1"/>
  <c r="R22" i="3"/>
  <c r="S22" i="3"/>
  <c r="O43" i="2"/>
  <c r="U7" i="9"/>
  <c r="M33" i="4"/>
  <c r="L27" i="4"/>
  <c r="R24" i="3"/>
  <c r="S24" i="3" s="1"/>
  <c r="M18" i="8"/>
  <c r="O18" i="8" s="1"/>
  <c r="W18" i="8" s="1"/>
  <c r="AA18" i="8" s="1"/>
  <c r="AB18" i="8" s="1"/>
  <c r="N23" i="2"/>
  <c r="O23" i="2" s="1"/>
  <c r="F26" i="5"/>
  <c r="F14" i="5" s="1"/>
  <c r="L26" i="4"/>
  <c r="M26" i="4" s="1"/>
  <c r="N26" i="4" s="1"/>
  <c r="O26" i="4" s="1"/>
  <c r="Z34" i="8"/>
  <c r="Z47" i="8" s="1"/>
  <c r="T4" i="9"/>
  <c r="Q14" i="9"/>
  <c r="O28" i="4"/>
  <c r="AC4" i="9" s="1"/>
  <c r="K41" i="5"/>
  <c r="AA4" i="9" s="1"/>
  <c r="F42" i="5"/>
  <c r="W12" i="9" s="1"/>
  <c r="L42" i="4"/>
  <c r="K40" i="4"/>
  <c r="K54" i="4" s="1"/>
  <c r="S49" i="3"/>
  <c r="S50" i="3"/>
  <c r="F27" i="5"/>
  <c r="R39" i="3"/>
  <c r="S39" i="3" s="1"/>
  <c r="N38" i="2"/>
  <c r="O38" i="2" s="1"/>
  <c r="Y53" i="12"/>
  <c r="AA38" i="8"/>
  <c r="AA34" i="8" s="1"/>
  <c r="W34" i="8"/>
  <c r="O18" i="2"/>
  <c r="M19" i="8"/>
  <c r="O19" i="8" s="1"/>
  <c r="W19" i="8" s="1"/>
  <c r="AA19" i="8" s="1"/>
  <c r="AB19" i="8" s="1"/>
  <c r="N24" i="2"/>
  <c r="O24" i="2" s="1"/>
  <c r="R25" i="3"/>
  <c r="S25" i="3" s="1"/>
  <c r="J14" i="3"/>
  <c r="M14" i="4" l="1"/>
  <c r="W11" i="9"/>
  <c r="W13" i="9"/>
  <c r="S17" i="3"/>
  <c r="L27" i="3"/>
  <c r="W14" i="9"/>
  <c r="AB22" i="8"/>
  <c r="AB21" i="8" s="1"/>
  <c r="AA21" i="8"/>
  <c r="Y4" i="9"/>
  <c r="O16" i="4"/>
  <c r="N14" i="4"/>
  <c r="E242" i="1" s="1"/>
  <c r="AB38" i="8"/>
  <c r="AB34" i="8" s="1"/>
  <c r="O15" i="2"/>
  <c r="N32" i="2"/>
  <c r="R33" i="3"/>
  <c r="N27" i="3"/>
  <c r="AA9" i="8"/>
  <c r="Q16" i="9"/>
  <c r="N33" i="4"/>
  <c r="M27" i="4"/>
  <c r="J27" i="5"/>
  <c r="K33" i="5"/>
  <c r="AC14" i="9"/>
  <c r="AC10" i="9"/>
  <c r="M42" i="4"/>
  <c r="L40" i="4"/>
  <c r="O10" i="8"/>
  <c r="F40" i="5"/>
  <c r="Q27" i="3"/>
  <c r="E162" i="1" s="1"/>
  <c r="S16" i="3"/>
  <c r="J54" i="3"/>
  <c r="K160" i="1"/>
  <c r="AC11" i="9"/>
  <c r="N42" i="3"/>
  <c r="L40" i="3"/>
  <c r="Q40" i="3"/>
  <c r="Q54" i="3" s="1"/>
  <c r="W10" i="9"/>
  <c r="J45" i="5"/>
  <c r="Z8" i="9"/>
  <c r="I40" i="4"/>
  <c r="E229" i="1"/>
  <c r="K225" i="1" s="1"/>
  <c r="H54" i="4"/>
  <c r="AC12" i="9"/>
  <c r="M20" i="8"/>
  <c r="O20" i="8" s="1"/>
  <c r="W20" i="8" s="1"/>
  <c r="AA20" i="8" s="1"/>
  <c r="AB20" i="8" s="1"/>
  <c r="R26" i="3"/>
  <c r="T12" i="9" s="1"/>
  <c r="N25" i="2"/>
  <c r="O25" i="2" s="1"/>
  <c r="L14" i="4"/>
  <c r="T11" i="9"/>
  <c r="L14" i="3"/>
  <c r="R8" i="9"/>
  <c r="R45" i="3"/>
  <c r="T8" i="9" s="1"/>
  <c r="N44" i="2"/>
  <c r="AJ18" i="10"/>
  <c r="AM14" i="10"/>
  <c r="AC13" i="9"/>
  <c r="Q14" i="3"/>
  <c r="E160" i="1" s="1"/>
  <c r="N34" i="2"/>
  <c r="O34" i="2" s="1"/>
  <c r="R35" i="3"/>
  <c r="S35" i="3" s="1"/>
  <c r="U6" i="9"/>
  <c r="O16" i="2"/>
  <c r="W16" i="9" l="1"/>
  <c r="W34" i="9" s="1"/>
  <c r="K162" i="1"/>
  <c r="S26" i="3"/>
  <c r="S14" i="3" s="1"/>
  <c r="AM18" i="10"/>
  <c r="AM19" i="10" s="1"/>
  <c r="AM33" i="10"/>
  <c r="AM45" i="10" s="1"/>
  <c r="L54" i="4"/>
  <c r="Q34" i="9"/>
  <c r="Q17" i="9"/>
  <c r="I54" i="4"/>
  <c r="K99" i="1"/>
  <c r="K101" i="1" s="1"/>
  <c r="M8" i="8"/>
  <c r="M47" i="8" s="1"/>
  <c r="T19" i="9"/>
  <c r="T32" i="9" s="1"/>
  <c r="AB9" i="8"/>
  <c r="O44" i="2"/>
  <c r="U8" i="9"/>
  <c r="O14" i="4"/>
  <c r="E110" i="1" s="1"/>
  <c r="R5" i="9"/>
  <c r="R16" i="9" s="1"/>
  <c r="N41" i="2"/>
  <c r="R42" i="3"/>
  <c r="N40" i="3"/>
  <c r="N54" i="3" s="1"/>
  <c r="K164" i="1" s="1"/>
  <c r="K45" i="5"/>
  <c r="J40" i="5"/>
  <c r="J54" i="5" s="1"/>
  <c r="AA9" i="9"/>
  <c r="Y9" i="9" s="1"/>
  <c r="K27" i="5"/>
  <c r="E86" i="1" s="1"/>
  <c r="W10" i="8"/>
  <c r="O8" i="8"/>
  <c r="O47" i="8" s="1"/>
  <c r="AJ19" i="10"/>
  <c r="AJ46" i="10"/>
  <c r="R14" i="3"/>
  <c r="T9" i="9"/>
  <c r="S33" i="3"/>
  <c r="S27" i="3" s="1"/>
  <c r="R27" i="3"/>
  <c r="E61" i="1" s="1"/>
  <c r="Z16" i="9"/>
  <c r="S45" i="3"/>
  <c r="O32" i="2"/>
  <c r="O26" i="2" s="1"/>
  <c r="U9" i="9"/>
  <c r="N26" i="2"/>
  <c r="E68" i="1" s="1"/>
  <c r="N42" i="4"/>
  <c r="M40" i="4"/>
  <c r="M54" i="4" s="1"/>
  <c r="N13" i="2"/>
  <c r="T13" i="9"/>
  <c r="T14" i="9"/>
  <c r="L54" i="3"/>
  <c r="O33" i="4"/>
  <c r="N27" i="4"/>
  <c r="E244" i="1" s="1"/>
  <c r="O13" i="2"/>
  <c r="T10" i="9"/>
  <c r="E66" i="1" l="1"/>
  <c r="AC9" i="9"/>
  <c r="O27" i="4"/>
  <c r="E112" i="1" s="1"/>
  <c r="Z34" i="9"/>
  <c r="L101" i="1" s="1"/>
  <c r="Z17" i="9"/>
  <c r="AA8" i="9"/>
  <c r="K40" i="5"/>
  <c r="M101" i="1"/>
  <c r="R40" i="3"/>
  <c r="S42" i="3"/>
  <c r="S40" i="3" s="1"/>
  <c r="S54" i="3" s="1"/>
  <c r="K168" i="1" s="1"/>
  <c r="T5" i="9"/>
  <c r="T16" i="9" s="1"/>
  <c r="O41" i="2"/>
  <c r="O39" i="2" s="1"/>
  <c r="O53" i="2" s="1"/>
  <c r="N39" i="2"/>
  <c r="U5" i="9"/>
  <c r="U16" i="9" s="1"/>
  <c r="U34" i="9" s="1"/>
  <c r="L66" i="1" s="1"/>
  <c r="O42" i="4"/>
  <c r="N40" i="4"/>
  <c r="AM46" i="10"/>
  <c r="AA10" i="8"/>
  <c r="W8" i="8"/>
  <c r="W47" i="8" s="1"/>
  <c r="AB10" i="8" l="1"/>
  <c r="AB8" i="8" s="1"/>
  <c r="AB47" i="8" s="1"/>
  <c r="AA8" i="8"/>
  <c r="N54" i="4"/>
  <c r="E246" i="1"/>
  <c r="K242" i="1" s="1"/>
  <c r="K84" i="1"/>
  <c r="K86" i="1" s="1"/>
  <c r="K54" i="5"/>
  <c r="AA16" i="9"/>
  <c r="Y8" i="9"/>
  <c r="Y16" i="9" s="1"/>
  <c r="Y34" i="9" s="1"/>
  <c r="O40" i="4"/>
  <c r="AC5" i="9"/>
  <c r="AC16" i="9" s="1"/>
  <c r="E70" i="1"/>
  <c r="K66" i="1" s="1"/>
  <c r="M66" i="1" s="1"/>
  <c r="N53" i="2"/>
  <c r="R54" i="3"/>
  <c r="E63" i="1"/>
  <c r="T34" i="9"/>
  <c r="L59" i="1" s="1"/>
  <c r="T17" i="9"/>
  <c r="AA34" i="9" l="1"/>
  <c r="L86" i="1" s="1"/>
  <c r="AA17" i="9"/>
  <c r="O54" i="4"/>
  <c r="AC17" i="9" s="1"/>
  <c r="K110" i="1"/>
  <c r="K112" i="1" s="1"/>
  <c r="AC34" i="9"/>
  <c r="L112" i="1" s="1"/>
  <c r="AA47" i="8"/>
  <c r="T33" i="9" s="1"/>
  <c r="E59" i="1"/>
  <c r="K59" i="1" s="1"/>
  <c r="M59" i="1" s="1"/>
  <c r="M86" i="1"/>
  <c r="M112" i="1" l="1"/>
</calcChain>
</file>

<file path=xl/sharedStrings.xml><?xml version="1.0" encoding="utf-8"?>
<sst xmlns="http://schemas.openxmlformats.org/spreadsheetml/2006/main" count="1149" uniqueCount="499">
  <si>
    <t>■</t>
  </si>
  <si>
    <t>Форма 200.00 Стр.01</t>
  </si>
  <si>
    <t>Прочитайте Правила составления данной формы.</t>
  </si>
  <si>
    <t>ВНИМАНИЕ! Заполнять шариковой или перьевой ручкой, ЧЕРНЫМИ или СИНИМИ чернилами, ЗАГЛАВНЫМИ ПЕЧАТНЫМИ символами.</t>
  </si>
  <si>
    <t>Раздел. Общая информация о налогоплательщике</t>
  </si>
  <si>
    <t>ИИН (БИН)</t>
  </si>
  <si>
    <t>Налоговый период, за который представляется налоговая отчетность:    квартал</t>
  </si>
  <si>
    <t xml:space="preserve">                       год</t>
  </si>
  <si>
    <t>Наименование налогового агента/Ф.И.О. вкладчика (плательщика)</t>
  </si>
  <si>
    <t>Вид декларации (укажите Х в соответствующей ячейке):</t>
  </si>
  <si>
    <t>Номер и дата уведомления (заполняется в случае представления дополнительной декларации по уведомлению):</t>
  </si>
  <si>
    <t>A</t>
  </si>
  <si>
    <t>номер</t>
  </si>
  <si>
    <t>B</t>
  </si>
  <si>
    <t>дата</t>
  </si>
  <si>
    <t>Категория налогоплательщика (укажите Х в соответствующей ячейке):</t>
  </si>
  <si>
    <t>C</t>
  </si>
  <si>
    <t>Численность работников (человек):</t>
  </si>
  <si>
    <t>1 мес.</t>
  </si>
  <si>
    <t>2 мес.</t>
  </si>
  <si>
    <t>3 мес.</t>
  </si>
  <si>
    <t>Наличие структурных подразделений (укажите Х в соответствующей ячейке):</t>
  </si>
  <si>
    <t>да</t>
  </si>
  <si>
    <t>нет</t>
  </si>
  <si>
    <t>Представленные приложения (укажите Х в соответствующей ячейке):</t>
  </si>
  <si>
    <t>Количество приложений 200.03</t>
  </si>
  <si>
    <t>Раздел. Расчетные показатели</t>
  </si>
  <si>
    <t>Код строки</t>
  </si>
  <si>
    <t>Наименование показателей</t>
  </si>
  <si>
    <t>200.00.001</t>
  </si>
  <si>
    <t>Сумма индивидуального подоходного налога, подлежащего уплате в бюджет</t>
  </si>
  <si>
    <t>I</t>
  </si>
  <si>
    <t>Итого за отчетный квартал</t>
  </si>
  <si>
    <t>IV</t>
  </si>
  <si>
    <t>II</t>
  </si>
  <si>
    <t>III</t>
  </si>
  <si>
    <t>200.00.002</t>
  </si>
  <si>
    <t>200.00.003</t>
  </si>
  <si>
    <t>Сумма обязательных профессиональных пенсионных взносов, подлежащих перечислению за работников</t>
  </si>
  <si>
    <t>200.00.004</t>
  </si>
  <si>
    <t>Сумма обязательных пенсионных взносов, подлежащих перечислению в свою пользу</t>
  </si>
  <si>
    <t>200.00.005</t>
  </si>
  <si>
    <t>200.00.006</t>
  </si>
  <si>
    <t>200.00.007</t>
  </si>
  <si>
    <t>200.00.008</t>
  </si>
  <si>
    <t>Сумма социальных отчислений с доходов работников</t>
  </si>
  <si>
    <t>200.00.009</t>
  </si>
  <si>
    <t>Сумма социальных отчислений в свою пользу</t>
  </si>
  <si>
    <t>Раздел. Индивидуальный подоходный налог</t>
  </si>
  <si>
    <t>200.01.001</t>
  </si>
  <si>
    <t>Начисленные доходы</t>
  </si>
  <si>
    <t>в том числе за отчетный квартал:</t>
  </si>
  <si>
    <t>доходы работников</t>
  </si>
  <si>
    <t>200.01.002</t>
  </si>
  <si>
    <t>Сумма индивидуального подоходного налога, исчисленного с начисленных доходов</t>
  </si>
  <si>
    <t>200.01.003</t>
  </si>
  <si>
    <t>Задолженность по доходам, невыплаченным физическим лицам</t>
  </si>
  <si>
    <t>200.01.004</t>
  </si>
  <si>
    <t>Индивидуальный подоходный налог по доходам, начисленным, но не выплаченным на начало отчетного квартала</t>
  </si>
  <si>
    <t>200.01.005</t>
  </si>
  <si>
    <t>Индивидуальный подоходный налог по доходам, начисленным, но не выплаченным на конец отчетного квартала</t>
  </si>
  <si>
    <t>200.01.006</t>
  </si>
  <si>
    <t>Выплачено доходов</t>
  </si>
  <si>
    <t>Раздел. Обязательные пенсионные взносы, обязательные профессиональные пенсионные взносы</t>
  </si>
  <si>
    <t>200.01.007</t>
  </si>
  <si>
    <t>Начисленные доходы, с которых удерживаются (начисляются) обязательные пенсионные взносы</t>
  </si>
  <si>
    <t>200.01.008</t>
  </si>
  <si>
    <t>Начисленные доходы, с которых удерживаются (начисляются) обязательные профессиональные пенсионные взносы</t>
  </si>
  <si>
    <t>200.01.009</t>
  </si>
  <si>
    <t>Заявленный доход в свою пользу</t>
  </si>
  <si>
    <t>200.01.010</t>
  </si>
  <si>
    <t>2мес.</t>
  </si>
  <si>
    <t>200.01.011</t>
  </si>
  <si>
    <t>200.01.012</t>
  </si>
  <si>
    <t>200.01.013</t>
  </si>
  <si>
    <t>Доходы работника, облагаемые социальным налогом</t>
  </si>
  <si>
    <t>Раздел. Социальные отчисления</t>
  </si>
  <si>
    <t>200.01.014</t>
  </si>
  <si>
    <t>Доходы физических лиц, с которых исчисляются социальные отчисления</t>
  </si>
  <si>
    <t>200.01.015</t>
  </si>
  <si>
    <t>Доход, с которого исчисляются социальные отчисления в свою пользу</t>
  </si>
  <si>
    <t>1.</t>
  </si>
  <si>
    <t>2.</t>
  </si>
  <si>
    <t>(при их наличии)</t>
  </si>
  <si>
    <t>   3.</t>
  </si>
  <si>
    <t>   4.</t>
  </si>
  <si>
    <t>Начисленные доходы для исчисления обязательных пенсионных взносов</t>
  </si>
  <si>
    <t>(тенге)</t>
  </si>
  <si>
    <t>№</t>
  </si>
  <si>
    <t>Ф.И.О. сотрудника</t>
  </si>
  <si>
    <t>Должность сотрудника</t>
  </si>
  <si>
    <t>Доход сотрудника за отчетный период</t>
  </si>
  <si>
    <t xml:space="preserve">Доход сотрудника с которого не удерживаются ОПВ </t>
  </si>
  <si>
    <t>Доход  сотрудника с которого удерживаются ОПВ</t>
  </si>
  <si>
    <t>Предел в размере 75-кратного МЗП</t>
  </si>
  <si>
    <t>Сумма ОПВ, с предельной суммы дохода</t>
  </si>
  <si>
    <t>_______________________________________________________________________________________</t>
  </si>
  <si>
    <t>(Ф.И.О., подпись руководителя (налогоплательщика), печать)</t>
  </si>
  <si>
    <t>(Ф.И.О., подпись главного бухгалтера)</t>
  </si>
  <si>
    <t>(Ф.И.О., подпись лица, ответственного за составление налогового регистра)</t>
  </si>
  <si>
    <t>__________________________________</t>
  </si>
  <si>
    <t>(Дата составления налогового регистра)</t>
  </si>
  <si>
    <t>РНН</t>
  </si>
  <si>
    <t xml:space="preserve">ИИН/БИН </t>
  </si>
  <si>
    <t>Ф.И.О. или наименование налогоплательщика</t>
  </si>
  <si>
    <r>
      <t xml:space="preserve">Налоговый период (квартал) </t>
    </r>
    <r>
      <rPr>
        <b/>
        <sz val="10"/>
        <rFont val="Times New Roman"/>
        <family val="1"/>
        <charset val="204"/>
      </rPr>
      <t/>
    </r>
  </si>
  <si>
    <t>квартал</t>
  </si>
  <si>
    <t>год</t>
  </si>
  <si>
    <t>1  месяц квартала</t>
  </si>
  <si>
    <t>2  месяц квартала</t>
  </si>
  <si>
    <t>3  месяц квартала</t>
  </si>
  <si>
    <t>переносится с предыдущего периода</t>
  </si>
  <si>
    <t>Сумма исчисленного ОПВ</t>
  </si>
  <si>
    <t>Сумма начисленных обязательных пенсионных взносов в НПФ</t>
  </si>
  <si>
    <t>Удельный вес выплаченных доходов к доходам, причитающимся к выплате</t>
  </si>
  <si>
    <t>Сумма ОПВ в НПФ, подлежащая перечислению за работников</t>
  </si>
  <si>
    <t xml:space="preserve">Форма налогового регистра по индивидуальному подоходному налогу </t>
  </si>
  <si>
    <t>№ п/п</t>
  </si>
  <si>
    <t>Наименование</t>
  </si>
  <si>
    <t>ИИН</t>
  </si>
  <si>
    <t>Начислено доходов</t>
  </si>
  <si>
    <t>Налоговые вычеты</t>
  </si>
  <si>
    <t>ОПВ</t>
  </si>
  <si>
    <t>Доходы, облагаемые ИПН</t>
  </si>
  <si>
    <t>ИПН</t>
  </si>
  <si>
    <t>Выплаченные доходы</t>
  </si>
  <si>
    <t>Расчет суммы ИПН, подлежащей перечислению</t>
  </si>
  <si>
    <t>Задолженность по невыплаченным доходам на начало месяца</t>
  </si>
  <si>
    <t>Доход к выплате за отчетный месяц</t>
  </si>
  <si>
    <t>Задолженность по невыплаченным доходам на конец месяца</t>
  </si>
  <si>
    <t>Задолженность по ИПН на начало месяца</t>
  </si>
  <si>
    <t>Начислено ИПН за отчетный месяц</t>
  </si>
  <si>
    <t>Сумма ИПН, подлежащего перечислению</t>
  </si>
  <si>
    <t>Задолженность по ИПН на конец месяца</t>
  </si>
  <si>
    <t>гр.4-гр.5-гр.6-гр.7</t>
  </si>
  <si>
    <t>гр.8*10%</t>
  </si>
  <si>
    <t>гр.4-гр.9-гр.7</t>
  </si>
  <si>
    <t>Заполняется самостоятельно</t>
  </si>
  <si>
    <t>гр.10+гр.11-гр.12</t>
  </si>
  <si>
    <t>гр.9</t>
  </si>
  <si>
    <t>(гр.15+гр.16)*гр.14</t>
  </si>
  <si>
    <t>гр.15+гр.16-гр.17</t>
  </si>
  <si>
    <t>Итого(строка заполняется по итогам квартала)</t>
  </si>
  <si>
    <t>Расчет социального налога для резидентов</t>
  </si>
  <si>
    <t>Сумма исчисленного социального налога</t>
  </si>
  <si>
    <t xml:space="preserve">Сумма исчисленных социальных отчислений </t>
  </si>
  <si>
    <t xml:space="preserve">Сумма исчисленного социального налога,  подлежащего перечислению в бюджет </t>
  </si>
  <si>
    <t>Итого (заполняется по итогу формы)</t>
  </si>
  <si>
    <t>2 месяц квартала</t>
  </si>
  <si>
    <t>3 месяц квартала</t>
  </si>
  <si>
    <t>Расчет  социальных отчислений</t>
  </si>
  <si>
    <t>Доход сотрудника  с которого удерживаются соцотчисления</t>
  </si>
  <si>
    <t>Начисленные доходы, с которых исчисляются социальные отчисления</t>
  </si>
  <si>
    <t>Сумма социальных отчислений за отчетный период</t>
  </si>
  <si>
    <t>гр.5-гр.6</t>
  </si>
  <si>
    <t>наименьшая из гр.7 и гр. 8</t>
  </si>
  <si>
    <t>гр.9 х ставку</t>
  </si>
  <si>
    <t>гр.4 регистр по ИПН</t>
  </si>
  <si>
    <t>Доход сотрудника с которого не удерживаются соцотчисления, кроме ОПВ</t>
  </si>
  <si>
    <t>гр.7 регистр по расчету ОПВ</t>
  </si>
  <si>
    <t>Максимальный размер ежемесячного дохода, принимаемого для исчисления соцотчислений</t>
  </si>
  <si>
    <t>Справочник</t>
  </si>
  <si>
    <t>МЗП =</t>
  </si>
  <si>
    <t>тенге</t>
  </si>
  <si>
    <t>Доход для ОПВ max =</t>
  </si>
  <si>
    <t>ОПВ max =</t>
  </si>
  <si>
    <t>Доход для СО max =</t>
  </si>
  <si>
    <t>СО max =</t>
  </si>
  <si>
    <t xml:space="preserve">Месячный расчетный показатель = </t>
  </si>
  <si>
    <t>Кол-во наемных работников 1 мес.</t>
  </si>
  <si>
    <t>Кол-во наемных работников 2 мес.</t>
  </si>
  <si>
    <t>Кол-во наемных работников 3 мес.</t>
  </si>
  <si>
    <t>200.00.010</t>
  </si>
  <si>
    <t>Сумма отчислений на обязательное социальное медицинское страхование</t>
  </si>
  <si>
    <t>200.00.011</t>
  </si>
  <si>
    <t>Сумма взносов на обязательное социальное медицинское страхование</t>
  </si>
  <si>
    <t>Доход сотрудника  с которого исчисляются ОСМС</t>
  </si>
  <si>
    <t>Доход сотрудника  с которого не исчисляются ОСМС</t>
  </si>
  <si>
    <t>Начисленные доходы, с которых исчисляются ОСМС</t>
  </si>
  <si>
    <t>гр.12 х ставку</t>
  </si>
  <si>
    <t>Раздел. Отчисления и взносы на обязательное социальное медицинское страхование</t>
  </si>
  <si>
    <t xml:space="preserve">Доходы, с которых исчисляются отчисления на обязательное социальное медицинское страхование </t>
  </si>
  <si>
    <t>200.01.016</t>
  </si>
  <si>
    <t>200.01.017</t>
  </si>
  <si>
    <t xml:space="preserve">Доходы, с которых исчисляются взносы на обязательное социальное медицинское страхование </t>
  </si>
  <si>
    <t>Расчет  налогов по договорам ГПХ</t>
  </si>
  <si>
    <t>Ф.И.О. физического лица</t>
  </si>
  <si>
    <t>Доход физ. лица за отчетный период</t>
  </si>
  <si>
    <t>Выплачено по договорам ГПХ физ. лицам</t>
  </si>
  <si>
    <t xml:space="preserve">Задолженность по доходам, невыплаченным физическим лицам на начало периода </t>
  </si>
  <si>
    <t xml:space="preserve">Задолженность по доходам, невыплаченным физическим лицам на конец периода </t>
  </si>
  <si>
    <t>Пенсионер (если да, то нужно поставить 1)</t>
  </si>
  <si>
    <t>гр.3+гр.4-гр.6</t>
  </si>
  <si>
    <t>гр.7х10%</t>
  </si>
  <si>
    <t>гр.9х 10%</t>
  </si>
  <si>
    <t>наименьшая из гр.8 или гр. 10</t>
  </si>
  <si>
    <t>гр.3+гр.11-гр.13</t>
  </si>
  <si>
    <t>Доходы физ. лица, с которого не исчисляются взносы на ОСМС (п.7 ст.28 Закона "Об ОСМС")</t>
  </si>
  <si>
    <t>ОСМС max =</t>
  </si>
  <si>
    <t>Доход для ОСМС max =</t>
  </si>
  <si>
    <t xml:space="preserve">ставка </t>
  </si>
  <si>
    <t>Сумма социального налога, подлежащего уплате в бюджет с применением ставок, установленных п. 1 ст.485 Налогового кодекса</t>
  </si>
  <si>
    <t>Сумма социального налога по юридическому лицу с учетом особенности, установленной ст.700 Налогового кодекса</t>
  </si>
  <si>
    <t>Сумма социального налога, подлежащего уплате в бюджет с применением ставок, установленных п. 2 ст. 485 Налогового кодекса</t>
  </si>
  <si>
    <t>Раздел. Социальный налог с применением ставок, установленных п.1 ст. 485 Налогового кодекса</t>
  </si>
  <si>
    <t>Количество приложений 200.04</t>
  </si>
  <si>
    <t>ставки</t>
  </si>
  <si>
    <t>ставка</t>
  </si>
  <si>
    <t>50хМЗП</t>
  </si>
  <si>
    <t>ДЕКЛАРАЦИЯ ПО ИНДИВИДУАЛЬНОМУ ПОДОХОДНОМУ НАЛОГУ И СОЦИАЛЬНОМУ НАЛОГУ</t>
  </si>
  <si>
    <t>доверительный управляющий в соответствии со статьей 40 Налогового кодекса</t>
  </si>
  <si>
    <t>налогоплательщик, применяющий специальный налоговый режим для производства сельскохозяйственной продукции и сельскохозяйственных кооперативов в соответствии со статьей 355 Налогового кодекса</t>
  </si>
  <si>
    <t>D</t>
  </si>
  <si>
    <t>E</t>
  </si>
  <si>
    <t>F</t>
  </si>
  <si>
    <t>учредитель доверительного управления в соответствии со статьей 40 Налогового кодекса</t>
  </si>
  <si>
    <t xml:space="preserve">Признак резидентства </t>
  </si>
  <si>
    <t>резидент</t>
  </si>
  <si>
    <t>нерезидент</t>
  </si>
  <si>
    <t>ИСЧИСЛЕНИЕ ИНДИВИДУАЛЬНОГО ПОДОХОДНОГО НАЛОГА И СОЦИАЛЬНОГО НАЛОГА, ОБЯЗАТЕЛЬНЫХ ПЕНСИОННЫХ ВЗНОСОВ, ОБЯЗАТЕЛЬНЫХ ПРОФЕССИОНАЛЬНЫХ ПЕНСИОННЫХ ВЗНОСОВ, СОЦИАЛЬНЫХ ОТЧИСЛЕНИЙ, ОТЧИСЛЕНИЙ И (ИЛИ) ВЗНОСОВ   НА ОБЯЗАТЕЛЬНОЕ СОЦИАЛЬНОЕ МЕДИЦИНСКОЕ СТРАХОВАНИЕ      (Приложение 1 к Декларации)          Форма 200.01 Стр. 01</t>
  </si>
  <si>
    <t>G</t>
  </si>
  <si>
    <t>ИИН физического лица</t>
  </si>
  <si>
    <t>МРЗП х7</t>
  </si>
  <si>
    <t>Корректировка дохода, согласно пункта 1 статьи 341 НК</t>
  </si>
  <si>
    <t>ИТОГО по физ. Лицам</t>
  </si>
  <si>
    <t>Налоговые вычеты, согласно подпункта 2,3 пункта 1 статьи 346 Налогового кодекса</t>
  </si>
  <si>
    <t>Корректировка доходов и доходы, не подлежащие налогообложению ИПН, кроме ОПВ</t>
  </si>
  <si>
    <t>Облагаемый доход физ. лица</t>
  </si>
  <si>
    <t>гр.12/(гр.10+гр.11)</t>
  </si>
  <si>
    <t>Сумма задолженности по ОПВ на конец месяца</t>
  </si>
  <si>
    <t xml:space="preserve">Доход физ.лица с которого не удерживаются ОПВ </t>
  </si>
  <si>
    <t>Доход  физ.лица с которого удерживаются ОПВ</t>
  </si>
  <si>
    <t>Сумма ОПВ в НПФ, подлежащая перечислению за физ.лиц</t>
  </si>
  <si>
    <t>Сумма задолженности по ОПВ на начало месяца</t>
  </si>
  <si>
    <t>Корректировка дохода 90%</t>
  </si>
  <si>
    <t>.</t>
  </si>
  <si>
    <t>Взносы ОСМС</t>
  </si>
  <si>
    <t>Доходы, с которых не удерживаются взносы ОСМС</t>
  </si>
  <si>
    <t>Доходы, с которых удерживаются взносы ОСМС</t>
  </si>
  <si>
    <t>гр.4-гр.15</t>
  </si>
  <si>
    <t>гр. 11 регистр по расчету ОПВ и взносам ОСМС</t>
  </si>
  <si>
    <t>Максимальный доход для взносов ОСМС</t>
  </si>
  <si>
    <t>10МЗП</t>
  </si>
  <si>
    <t>Итого за квартал</t>
  </si>
  <si>
    <t>Ф.И.О. физ. лица</t>
  </si>
  <si>
    <t>ИИН физ. лица</t>
  </si>
  <si>
    <t>Статус</t>
  </si>
  <si>
    <t>категория физического лица</t>
  </si>
  <si>
    <t>отмечается если физическое лицо осуществляет деятельность в структурном подразделении, не признанном налоговым агентом</t>
  </si>
  <si>
    <t>корректировка согласно пункту 1 статьи 341 Налогового кодекса</t>
  </si>
  <si>
    <t>Взносы на ОСМС</t>
  </si>
  <si>
    <t>J</t>
  </si>
  <si>
    <t>налоговые стандартные вычеты, согласно подпунктам 2 и 3 пункта 1 статьи 346 Налогового кодекса</t>
  </si>
  <si>
    <t>K</t>
  </si>
  <si>
    <t>L</t>
  </si>
  <si>
    <t>прочие налоговые вычеты</t>
  </si>
  <si>
    <t>м</t>
  </si>
  <si>
    <t>ИПН к начислению</t>
  </si>
  <si>
    <t>N</t>
  </si>
  <si>
    <t>Cумма выплаченного дохода</t>
  </si>
  <si>
    <t>o</t>
  </si>
  <si>
    <t>сумма ИПН, подлежащая оплате</t>
  </si>
  <si>
    <t>P</t>
  </si>
  <si>
    <t>Сумма исчисленного соц. Налога</t>
  </si>
  <si>
    <t>Q</t>
  </si>
  <si>
    <t>сумма социальных отчислений</t>
  </si>
  <si>
    <t>сумма обязательных профессиональных пенсионных взносов</t>
  </si>
  <si>
    <t>T</t>
  </si>
  <si>
    <t>U</t>
  </si>
  <si>
    <t>работники</t>
  </si>
  <si>
    <t>договора ГПХ</t>
  </si>
  <si>
    <t>1-пенсионер</t>
  </si>
  <si>
    <t>2-инвалид</t>
  </si>
  <si>
    <t>3-лицо, приравненное к участникам Великой Отечественной войны</t>
  </si>
  <si>
    <t>4-родитель, опекун, попечитель ребенка-инвалида, не достигшего восемнадцатилетнего возраста, или лица, признанного инвалидом по причине «инвалид с детства»;</t>
  </si>
  <si>
    <t>5-усыновитель (удочеритель) ребенка, не достигшего восемнадцатилетнего возраста</t>
  </si>
  <si>
    <t>6-приемный родитель, принявший детей-сирот и детей, оставшихся без попечения родителей, в приемную семью.</t>
  </si>
  <si>
    <t>итого</t>
  </si>
  <si>
    <t>проверка (должно быть равно 0)</t>
  </si>
  <si>
    <t>итого приложение 200.05</t>
  </si>
  <si>
    <t>Сумма обязательных пенсионных взносов, подлежащих перечислению</t>
  </si>
  <si>
    <t>вознаграждения</t>
  </si>
  <si>
    <t xml:space="preserve">выигрыши </t>
  </si>
  <si>
    <t>дивиденды</t>
  </si>
  <si>
    <t>доходы ФЛ по договорам ГПХ</t>
  </si>
  <si>
    <t>Доходы работников, освобожденных от налогообложения в рамках МФЦА</t>
  </si>
  <si>
    <t>облагаемый доход</t>
  </si>
  <si>
    <t>гр.6-гр.7</t>
  </si>
  <si>
    <t>Доходы, облагаемые соц. Налогом</t>
  </si>
  <si>
    <t>Прочие доходы, не облагаемые соц. Налогом, кроме взносов на ОСМС</t>
  </si>
  <si>
    <t>200.01.018</t>
  </si>
  <si>
    <t>200.01.019</t>
  </si>
  <si>
    <t>Доходы, с которых исчисляются взносы на ОСМС</t>
  </si>
  <si>
    <t>min гр.16/гр.17</t>
  </si>
  <si>
    <t>гр.18*2%</t>
  </si>
  <si>
    <t>200.00.012</t>
  </si>
  <si>
    <t>Сумма взносов на обязательное социальное медицинское страхование в свою пользу</t>
  </si>
  <si>
    <t>Доходы, с которых исчисляются взносы на обязательное социальное медицинское страхование в свою пользу</t>
  </si>
  <si>
    <t>отмечается если физическое лицо в соответствии со статьей 6 Конституционного закона является работником участника или органа МФЦА</t>
  </si>
  <si>
    <t>H</t>
  </si>
  <si>
    <t xml:space="preserve">R </t>
  </si>
  <si>
    <t xml:space="preserve">S </t>
  </si>
  <si>
    <t>указывается корректировка согласно пункту 1 статьи 341 Налогового кодекса.</t>
  </si>
  <si>
    <t xml:space="preserve">указывается налоговые стандартные вычеты, согласно пункта 1 статьи 346 Налогового кодекса. </t>
  </si>
  <si>
    <t>сумма прочих налоговых вычетов</t>
  </si>
  <si>
    <t>сумма задолженности по начисленным, но невыплаченным доходам физических лиц за отчетный квартал</t>
  </si>
  <si>
    <t xml:space="preserve"> сумма ОПВ, подлежащих перечислению</t>
  </si>
  <si>
    <t>сумма взносов на ОСМС</t>
  </si>
  <si>
    <t xml:space="preserve">W </t>
  </si>
  <si>
    <t>суммы доходов, не облагаемые социальным налогом</t>
  </si>
  <si>
    <t>Х</t>
  </si>
  <si>
    <t>доходы, облагаемые социальным налогом</t>
  </si>
  <si>
    <t>Y</t>
  </si>
  <si>
    <t>Z</t>
  </si>
  <si>
    <t>AA</t>
  </si>
  <si>
    <t>сумма социального налога, подлежащего уплате в бюджет</t>
  </si>
  <si>
    <t>АВ</t>
  </si>
  <si>
    <t>АС</t>
  </si>
  <si>
    <t>не менее 1МРЗП и не более 10МРЗП</t>
  </si>
  <si>
    <t>Доход для ОСМС min =</t>
  </si>
  <si>
    <t>ОСМС min =</t>
  </si>
  <si>
    <t>14 МРП</t>
  </si>
  <si>
    <t>200.01.020</t>
  </si>
  <si>
    <t>принятые доходы, с которых исчисляются ОСМС</t>
  </si>
  <si>
    <t xml:space="preserve">Ф.И.О. иностранца или лица без гражднства </t>
  </si>
  <si>
    <t xml:space="preserve">ИИН иностранца или лица без гражднства </t>
  </si>
  <si>
    <t>Код страны гражданства</t>
  </si>
  <si>
    <t>признак резидентства</t>
  </si>
  <si>
    <t xml:space="preserve">код страны резидентства </t>
  </si>
  <si>
    <t>номер налоговой регистрации иностранца или лица без гражданства в стране резидентства</t>
  </si>
  <si>
    <t xml:space="preserve">вид, номер и дата выдачи  документа, удостоверяющего личность иностранца или лица без гражднства  </t>
  </si>
  <si>
    <t>код вида дохода</t>
  </si>
  <si>
    <t xml:space="preserve"> код вида международного договора</t>
  </si>
  <si>
    <t xml:space="preserve">ставка налога </t>
  </si>
  <si>
    <t xml:space="preserve"> работники-нерезиденты – граждане стран – членов ЕАЭС
</t>
  </si>
  <si>
    <t xml:space="preserve">начисленно доходов, за квартал </t>
  </si>
  <si>
    <t>Ограничение по ОПВ</t>
  </si>
  <si>
    <t>Доходы принятые для исчисления ОПВ</t>
  </si>
  <si>
    <t>Пенсионер</t>
  </si>
  <si>
    <t>Ограничение по взносы на ОСМС</t>
  </si>
  <si>
    <t>Доходы принятые для исчисления взносов на ОСМС</t>
  </si>
  <si>
    <t>Доходы, не подлежащине налогообложению</t>
  </si>
  <si>
    <t> взносы на ОСМС</t>
  </si>
  <si>
    <t>стандартные налоговые вычеты</t>
  </si>
  <si>
    <t>сумма стандартных налоговых вычетов</t>
  </si>
  <si>
    <t>Облагаемый доход</t>
  </si>
  <si>
    <t xml:space="preserve">ИПН </t>
  </si>
  <si>
    <t>Задолженность на начало</t>
  </si>
  <si>
    <t>Сумма к выплате за отчетный период</t>
  </si>
  <si>
    <t xml:space="preserve"> Выплачено доходов</t>
  </si>
  <si>
    <t>задолженность на конец</t>
  </si>
  <si>
    <t>Задолженность по ИПН на начало</t>
  </si>
  <si>
    <t>Выплаты, не облагаемые социальным налогом, за исключением ОПВ</t>
  </si>
  <si>
    <t>выплаты, облагаемые социальным налогом</t>
  </si>
  <si>
    <t>Социальный налог, исчисленный с доходов иностранцев и лиц без гражданства</t>
  </si>
  <si>
    <t>Расходы работодателя, с которых исчисляются социальные отчисления</t>
  </si>
  <si>
    <t>Расходы работодателя, с которых исчисляются социальные отчисления c учетом ограничения</t>
  </si>
  <si>
    <t>Задолженность по ОПВ на начало</t>
  </si>
  <si>
    <t>сумма обязательных пенсионных взносов, подлежащих перечислению</t>
  </si>
  <si>
    <t>Задолженность по взносов на ОСМС на начало</t>
  </si>
  <si>
    <t>сумма взносов на ОСМС, подлежащих перечислению</t>
  </si>
  <si>
    <t>Доходы для исчисления ООСМС</t>
  </si>
  <si>
    <t>Доходы для исчисления ООСМС, с учетом ограничений</t>
  </si>
  <si>
    <t>Сумма отчислений на ОСМС</t>
  </si>
  <si>
    <t xml:space="preserve">H </t>
  </si>
  <si>
    <t>O</t>
  </si>
  <si>
    <t>50 МЗП*3</t>
  </si>
  <si>
    <t>10 МЗП*3</t>
  </si>
  <si>
    <t>V</t>
  </si>
  <si>
    <t>W</t>
  </si>
  <si>
    <t>X</t>
  </si>
  <si>
    <t xml:space="preserve"> Z</t>
  </si>
  <si>
    <t>AB</t>
  </si>
  <si>
    <t>АА</t>
  </si>
  <si>
    <t>AC</t>
  </si>
  <si>
    <t>AF</t>
  </si>
  <si>
    <t>AG</t>
  </si>
  <si>
    <t>AH</t>
  </si>
  <si>
    <t>7 МРЗП*3</t>
  </si>
  <si>
    <t>AI</t>
  </si>
  <si>
    <t>AD</t>
  </si>
  <si>
    <t>AE</t>
  </si>
  <si>
    <t>10 МРЗП*3</t>
  </si>
  <si>
    <t>AL</t>
  </si>
  <si>
    <t>нужно выбрать</t>
  </si>
  <si>
    <t>вид</t>
  </si>
  <si>
    <t xml:space="preserve">% </t>
  </si>
  <si>
    <t>Если да, то нужно поставить 1</t>
  </si>
  <si>
    <t>Если работник работал не 3 месяца, то сумму необходимо откорректировать</t>
  </si>
  <si>
    <t>Если нет, то нужно поставить 1</t>
  </si>
  <si>
    <t>в соответствии п.1 ст. 341 и 654 НК</t>
  </si>
  <si>
    <t>в соответствии с п.1 ст. 341 НК</t>
  </si>
  <si>
    <t>в соответствии со ст. 654 НК</t>
  </si>
  <si>
    <t xml:space="preserve">с подпунктом 4) и 5) пункта 3 статьи 484 </t>
  </si>
  <si>
    <t>AH-AI</t>
  </si>
  <si>
    <t xml:space="preserve">1 - резидент, </t>
  </si>
  <si>
    <t>1 – один МЗП,  в соответствии с пп.1) п.1 ст. 346 НК; </t>
  </si>
  <si>
    <t>1 - налоговый вычет по добровольным пенсионным взносам;</t>
  </si>
  <si>
    <t xml:space="preserve">2 - нерезидент </t>
  </si>
  <si>
    <t>2 - налоговый вычет на медицину;</t>
  </si>
  <si>
    <t>3 - налоговый вычет по вознаграждениям.</t>
  </si>
  <si>
    <t>итого приложение 200.02</t>
  </si>
  <si>
    <t>Расшифровка графы G</t>
  </si>
  <si>
    <t>2 - 882-кратный размер МРП за календарный год в соответствии с пп.2) п.1 ст. 346 НК; </t>
  </si>
  <si>
    <t>02 - удостоверение личности иностранного гражданина</t>
  </si>
  <si>
    <t>3 - 882-кратный размер МРП за календарный год в соответствии с пп.3) п.1 ст.  346 НК; </t>
  </si>
  <si>
    <t xml:space="preserve">03 - паспорт моряка;
</t>
  </si>
  <si>
    <t>04 - вид на жительство;</t>
  </si>
  <si>
    <t>05 - другие документы;</t>
  </si>
  <si>
    <t>50 МЗП</t>
  </si>
  <si>
    <t>10 МЗП</t>
  </si>
  <si>
    <t>7 МРЗП</t>
  </si>
  <si>
    <t>10 МРЗП</t>
  </si>
  <si>
    <t>1 месяц</t>
  </si>
  <si>
    <t>2 месяц</t>
  </si>
  <si>
    <t>3 месяц</t>
  </si>
  <si>
    <t>если во втором и 3 месяце есть новые работники, то нужно добавить фамилию и ИИН вручную</t>
  </si>
  <si>
    <t>эти графы не участвуют в расчетах Доходы, не подлежащине налогообложению</t>
  </si>
  <si>
    <t>Доходы не облагаемые ОПВ</t>
  </si>
  <si>
    <t>в том числе иностранцев и лиц без гражданства</t>
  </si>
  <si>
    <t>Раздел. Численность и расходы по оплате труда работников-лиц с инвалидностью</t>
  </si>
  <si>
    <t>Численность работников-лиц с инвалидностью</t>
  </si>
  <si>
    <t>Удельный вес численности работников-лиц с инвалидностьюв общей численности работников, %</t>
  </si>
  <si>
    <t>Удельный вес расходов по оплате труда работников-лиц с инвалидностью в общих расходах по оплате труда, %</t>
  </si>
  <si>
    <t xml:space="preserve">ИИН иностранца или лица без гражданства </t>
  </si>
  <si>
    <t>Согласно пункту 34 Правил</t>
  </si>
  <si>
    <t>1 – 14 МРП,  в соответствии с пп.1) п.1 ст. 346 НК; </t>
  </si>
  <si>
    <t>Столбец 1</t>
  </si>
  <si>
    <r>
      <t>V</t>
    </r>
    <r>
      <rPr>
        <sz val="10"/>
        <color indexed="8"/>
        <rFont val="Arial"/>
        <family val="2"/>
        <charset val="204"/>
      </rPr>
      <t xml:space="preserve"> </t>
    </r>
  </si>
  <si>
    <r>
      <t>R</t>
    </r>
    <r>
      <rPr>
        <sz val="10"/>
        <color indexed="63"/>
        <rFont val="Arial"/>
        <family val="2"/>
        <charset val="204"/>
      </rPr>
      <t> </t>
    </r>
  </si>
  <si>
    <r>
      <t>S</t>
    </r>
    <r>
      <rPr>
        <sz val="10"/>
        <color indexed="63"/>
        <rFont val="Arial"/>
        <family val="2"/>
        <charset val="204"/>
      </rPr>
      <t> </t>
    </r>
  </si>
  <si>
    <r>
      <t>U</t>
    </r>
    <r>
      <rPr>
        <sz val="10"/>
        <color indexed="63"/>
        <rFont val="Arial"/>
        <family val="2"/>
        <charset val="204"/>
      </rPr>
      <t> </t>
    </r>
  </si>
  <si>
    <r>
      <t>Y</t>
    </r>
    <r>
      <rPr>
        <sz val="10"/>
        <color indexed="63"/>
        <rFont val="Arial"/>
        <family val="2"/>
        <charset val="204"/>
      </rPr>
      <t> </t>
    </r>
  </si>
  <si>
    <r>
      <t>AJ</t>
    </r>
    <r>
      <rPr>
        <sz val="10"/>
        <color indexed="63"/>
        <rFont val="Arial"/>
        <family val="2"/>
        <charset val="204"/>
      </rPr>
      <t xml:space="preserve"> </t>
    </r>
  </si>
  <si>
    <t>налогоплательщик, применяющий специальный налоговый режим на основе патента</t>
  </si>
  <si>
    <t>налогоплательщик, применяющий специальный налоговый режим с использованием фиксированного вычета</t>
  </si>
  <si>
    <t>Первый</t>
  </si>
  <si>
    <t>Второй</t>
  </si>
  <si>
    <t>Третий</t>
  </si>
  <si>
    <t>Четвертый</t>
  </si>
  <si>
    <t>Пятый</t>
  </si>
  <si>
    <t>Шестой</t>
  </si>
  <si>
    <t>Восьмой</t>
  </si>
  <si>
    <t>Девятый</t>
  </si>
  <si>
    <t>плательщик единого платежа в соответствии со статьей 776-1 Налогового кодекса</t>
  </si>
  <si>
    <t>Участник МФЦА в соответствии с Конституционным законом РК "О МФЦА"</t>
  </si>
  <si>
    <t>Код валюты</t>
  </si>
  <si>
    <t>KZT</t>
  </si>
  <si>
    <t>200.00.013</t>
  </si>
  <si>
    <t>Сумма обязательных пенсионных взносов работодателя</t>
  </si>
  <si>
    <t>200.00.014</t>
  </si>
  <si>
    <t>Сумма единого платежа с доходов работников, подлежащих перечислению</t>
  </si>
  <si>
    <t>Начисленные доходы, с которых исчисляются (начисляются) обязательные пенсионные взносы работодателя</t>
  </si>
  <si>
    <t>200.01.021</t>
  </si>
  <si>
    <t>AM</t>
  </si>
  <si>
    <t>Сумма ОПВ работодателя, подлежащих уплате</t>
  </si>
  <si>
    <t>гр.7*0%</t>
  </si>
  <si>
    <t>ОПВ работодателя, исчисленные</t>
  </si>
  <si>
    <t>Сумма исчисленных обязательных пенсионных взносов в ЕНПФ</t>
  </si>
  <si>
    <t>гр.3-гр.5</t>
  </si>
  <si>
    <t>гр.8х 10%</t>
  </si>
  <si>
    <t>наименьшая из гр.7 или гр.9</t>
  </si>
  <si>
    <t>Сумма исчисленных ОПВ в ЕНПФ</t>
  </si>
  <si>
    <t>Доходы, с которых не удерживаются взносы и отчисления ОСМС</t>
  </si>
  <si>
    <t>гр.3-гр.11</t>
  </si>
  <si>
    <t>min гр.12/гр.13</t>
  </si>
  <si>
    <t>Отчисления ОСМС</t>
  </si>
  <si>
    <t>Доходы, с которых не удерживаются СО</t>
  </si>
  <si>
    <t>Доходы, с которых удерживаются СО</t>
  </si>
  <si>
    <t>Максимальный доход для СО</t>
  </si>
  <si>
    <t>Доходы, с которых исчисляются СО</t>
  </si>
  <si>
    <t>СО</t>
  </si>
  <si>
    <t>гр.3-гр.16</t>
  </si>
  <si>
    <t>7 МЗП</t>
  </si>
  <si>
    <t>min гр.17/гр.18</t>
  </si>
  <si>
    <t xml:space="preserve">cумма отчислений на обязательное социальное медицинское страхование </t>
  </si>
  <si>
    <t>ОПВ работодателя</t>
  </si>
  <si>
    <t>АD</t>
  </si>
  <si>
    <t>Категория физ.лица:</t>
  </si>
  <si>
    <t>Единый платеж исчисленный с начисленных доходов</t>
  </si>
  <si>
    <t>ИПН подлежащий уплате в бюджет</t>
  </si>
  <si>
    <t>Сумма ОПВ подлежащих перечислению</t>
  </si>
  <si>
    <t>Сумма ВОСМС подлежащих перечислению</t>
  </si>
  <si>
    <t>Сумма СО</t>
  </si>
  <si>
    <t>Сумма ООСМС</t>
  </si>
  <si>
    <t>Сумма ОПВ работодателя</t>
  </si>
  <si>
    <t>Сумма единого платежа, подлежащего перечислению</t>
  </si>
  <si>
    <t>M</t>
  </si>
  <si>
    <t>Единый платеж итого</t>
  </si>
  <si>
    <t>для ИП</t>
  </si>
  <si>
    <t>Является физ.лицом структурного подразделения</t>
  </si>
  <si>
    <t>Единый платеж</t>
  </si>
  <si>
    <t>ТОО AAAA</t>
  </si>
  <si>
    <t xml:space="preserve"> </t>
  </si>
  <si>
    <t>гр.6х21,5%х46,5%</t>
  </si>
  <si>
    <t>гр.6х21,5%х7%</t>
  </si>
  <si>
    <r>
      <t xml:space="preserve">Предлагаемая таблица налогового регистра, на основании которой заполняется шаблон налоговой отчетности в автоматическом режиме, составлена в соответствии с Правилами составления налоговой отчетности (декларации) по индивидуальному подоходному налогу (далее по тексту - ИПН) и социальному налогу по гражданам Республики Казахстан, утверждены приказом первого заместителя Премьер-Министра Минфина РК от 20 января 2020 года № 39 (с изменениями, внесенными приказом Министра финансов Республики Казахстан от 29.09.2022 года). Данные для заполнения налогового регистра принимаются из расчетных ведомостей по начислению заработной платы сотрудникам юридического лица и бухгалтерских справок по начислению прочих доходов физическим лицам, облагаемых ИПН. Данная форма призвана оказать Вам помощь  при  заполнении </t>
    </r>
    <r>
      <rPr>
        <b/>
        <sz val="10"/>
        <color indexed="51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 xml:space="preserve">формы 200.00  и приложений 200.01, 200.05 за отчетный квартал 2024 года для юридического лица по СНР розничного налога.  В данном примере не рассмотрен вариант, когда есть работники нерезиденты, по которым необходимо заполнять приложение  200.02, также его необходимо учитывать отдельно, так как их доходы не должны попадать в приложение 200.05. В форме №200.00 Декларация  вручную можно заполнять только "Залитые" </t>
    </r>
    <r>
      <rPr>
        <b/>
        <sz val="10"/>
        <color indexed="57"/>
        <rFont val="Arial"/>
        <family val="2"/>
        <charset val="204"/>
      </rPr>
      <t>зеленым цветом ячейки</t>
    </r>
    <r>
      <rPr>
        <b/>
        <sz val="10"/>
        <color indexed="8"/>
        <rFont val="Arial"/>
        <family val="2"/>
        <charset val="204"/>
      </rPr>
      <t xml:space="preserve"> , все остальные данные заполняются автомотически из регистров. В регистрах нужно заполнять также, только </t>
    </r>
    <r>
      <rPr>
        <b/>
        <sz val="10"/>
        <color indexed="57"/>
        <rFont val="Arial"/>
        <family val="2"/>
        <charset val="204"/>
      </rPr>
      <t>"Залитые" зеленым цветом ячейки</t>
    </r>
    <r>
      <rPr>
        <b/>
        <sz val="10"/>
        <color indexed="8"/>
        <rFont val="Arial"/>
        <family val="2"/>
        <charset val="204"/>
      </rPr>
      <t xml:space="preserve">, все остальное считается автоматически. Регистры созданы из расчета 12 сотрудников, если количество сотрудников больше, то необходимо добавить дополнительные строки в каждом регистре и в каждый месяц, и протянуть формулы. Строчки "залитые" </t>
    </r>
    <r>
      <rPr>
        <b/>
        <sz val="10"/>
        <color indexed="10"/>
        <rFont val="Arial"/>
        <family val="2"/>
        <charset val="204"/>
      </rPr>
      <t>красным цветом ячейки не заполняются, читайте примечание в файле ворд (пример заполнения).</t>
    </r>
  </si>
  <si>
    <t>Предел в размере 50-кратного МЗП для ОПВ и ОПВР</t>
  </si>
  <si>
    <t>ДЛЯ ПРОВЕРКИ, ДОЛЖНО БЫТЬ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</si>
</sst>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_₽_-;\-* #,##0.00\ _₽_-;_-* &quot;-&quot;??\ _₽_-;_-@_-"/>
    <numFmt numFmtId="165" formatCode="_-* #,##0_р_._-;\-* #,##0_р_._-;_-* &quot;-&quot;??_р_._-;_-@_-"/>
    <numFmt numFmtId="166" formatCode="0;[Red]\-0"/>
    <numFmt numFmtId="167" formatCode="#,##0_ ;[Red]\-#,##0\ "/>
    <numFmt numFmtId="168" formatCode="0.0"/>
    <numFmt numFmtId="169" formatCode="0.00;[Red]\-0.00"/>
    <numFmt numFmtId="170" formatCode="#,##0.00_ ;[Red]\-#,##0.00\ "/>
    <numFmt numFmtId="171" formatCode="#,##0.0000_ ;[Red]\-#,##0.0000\ "/>
    <numFmt numFmtId="172" formatCode="_-* #,##0\ _₽_-;\-* #,##0\ _₽_-;_-* &quot;-&quot;??\ _₽_-;_-@_-"/>
    <numFmt numFmtId="173" formatCode="0.0%"/>
    <numFmt numFmtId="174" formatCode="#,##0.0_ ;[Red]\-#,##0.0\ "/>
    <numFmt numFmtId="175" formatCode="#,##0_ ;\-#,##0\ 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b/>
      <u/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51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57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indexed="22"/>
      <name val="Arial"/>
      <family val="2"/>
      <charset val="204"/>
    </font>
    <font>
      <b/>
      <sz val="10"/>
      <color indexed="59"/>
      <name val="Arial"/>
      <family val="2"/>
      <charset val="204"/>
    </font>
    <font>
      <sz val="10"/>
      <color indexed="63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rgb="FFFFC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202124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333333"/>
      <name val="Arial"/>
      <family val="2"/>
      <charset val="204"/>
    </font>
    <font>
      <sz val="10"/>
      <color rgb="FF333333"/>
      <name val="Arial"/>
      <family val="2"/>
      <charset val="204"/>
    </font>
    <font>
      <b/>
      <sz val="10"/>
      <color rgb="FF212529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color rgb="FF000000"/>
      <name val="Tahoma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7" fillId="0" borderId="0" applyNumberForma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6" fillId="0" borderId="0" applyFont="0" applyFill="0" applyBorder="0" applyAlignment="0" applyProtection="0"/>
  </cellStyleXfs>
  <cellXfs count="328">
    <xf numFmtId="0" fontId="0" fillId="0" borderId="0" xfId="0"/>
    <xf numFmtId="0" fontId="2" fillId="0" borderId="1" xfId="2" applyFont="1" applyBorder="1" applyAlignment="1">
      <alignment horizontal="center"/>
    </xf>
    <xf numFmtId="0" fontId="1" fillId="0" borderId="0" xfId="2"/>
    <xf numFmtId="0" fontId="2" fillId="0" borderId="2" xfId="2" applyFont="1" applyBorder="1" applyAlignment="1">
      <alignment horizontal="center"/>
    </xf>
    <xf numFmtId="0" fontId="1" fillId="0" borderId="3" xfId="2" applyBorder="1"/>
    <xf numFmtId="0" fontId="5" fillId="0" borderId="0" xfId="0" applyFont="1"/>
    <xf numFmtId="0" fontId="2" fillId="0" borderId="0" xfId="0" applyFont="1" applyAlignment="1">
      <alignment horizontal="right"/>
    </xf>
    <xf numFmtId="3" fontId="18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 vertical="center" wrapText="1"/>
    </xf>
    <xf numFmtId="3" fontId="18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right" vertical="center" wrapText="1"/>
    </xf>
    <xf numFmtId="17" fontId="2" fillId="8" borderId="1" xfId="0" applyNumberFormat="1" applyFont="1" applyFill="1" applyBorder="1" applyAlignment="1">
      <alignment horizontal="left" vertical="center" wrapText="1" indent="2"/>
    </xf>
    <xf numFmtId="0" fontId="2" fillId="9" borderId="1" xfId="0" applyFont="1" applyFill="1" applyBorder="1" applyAlignment="1">
      <alignment horizontal="left" vertical="center"/>
    </xf>
    <xf numFmtId="40" fontId="2" fillId="9" borderId="1" xfId="0" applyNumberFormat="1" applyFont="1" applyFill="1" applyBorder="1" applyAlignment="1">
      <alignment horizontal="right" vertical="center"/>
    </xf>
    <xf numFmtId="2" fontId="6" fillId="9" borderId="2" xfId="7" applyNumberFormat="1" applyFont="1" applyFill="1" applyBorder="1" applyAlignment="1">
      <alignment horizontal="right" vertical="top"/>
    </xf>
    <xf numFmtId="0" fontId="6" fillId="8" borderId="2" xfId="7" applyFont="1" applyFill="1" applyBorder="1" applyAlignment="1">
      <alignment horizontal="left" vertical="top"/>
    </xf>
    <xf numFmtId="0" fontId="6" fillId="8" borderId="4" xfId="8" applyFont="1" applyFill="1" applyBorder="1" applyAlignment="1">
      <alignment horizontal="left" vertical="top"/>
    </xf>
    <xf numFmtId="40" fontId="6" fillId="8" borderId="4" xfId="8" applyNumberFormat="1" applyFont="1" applyFill="1" applyBorder="1" applyAlignment="1">
      <alignment horizontal="right" vertical="top"/>
    </xf>
    <xf numFmtId="169" fontId="6" fillId="8" borderId="4" xfId="8" applyNumberFormat="1" applyFont="1" applyFill="1" applyBorder="1" applyAlignment="1">
      <alignment horizontal="right" vertical="top"/>
    </xf>
    <xf numFmtId="40" fontId="6" fillId="8" borderId="2" xfId="7" applyNumberFormat="1" applyFont="1" applyFill="1" applyBorder="1" applyAlignment="1">
      <alignment horizontal="right" vertical="top"/>
    </xf>
    <xf numFmtId="40" fontId="6" fillId="8" borderId="2" xfId="7" applyNumberFormat="1" applyFont="1" applyFill="1" applyBorder="1" applyAlignment="1">
      <alignment horizontal="left" vertical="top"/>
    </xf>
    <xf numFmtId="0" fontId="2" fillId="8" borderId="1" xfId="0" applyFont="1" applyFill="1" applyBorder="1" applyAlignment="1">
      <alignment horizontal="left" vertical="center" wrapText="1" indent="2"/>
    </xf>
    <xf numFmtId="38" fontId="2" fillId="9" borderId="1" xfId="0" applyNumberFormat="1" applyFont="1" applyFill="1" applyBorder="1" applyAlignment="1">
      <alignment horizontal="right" vertical="center"/>
    </xf>
    <xf numFmtId="38" fontId="6" fillId="8" borderId="4" xfId="8" applyNumberFormat="1" applyFont="1" applyFill="1" applyBorder="1" applyAlignment="1">
      <alignment horizontal="right" vertical="top"/>
    </xf>
    <xf numFmtId="38" fontId="6" fillId="8" borderId="2" xfId="7" applyNumberFormat="1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166" fontId="2" fillId="0" borderId="1" xfId="0" applyNumberFormat="1" applyFont="1" applyBorder="1" applyAlignment="1">
      <alignment horizontal="right"/>
    </xf>
    <xf numFmtId="172" fontId="2" fillId="9" borderId="1" xfId="11" applyNumberFormat="1" applyFont="1" applyFill="1" applyBorder="1" applyAlignment="1">
      <alignment horizontal="right" vertical="center"/>
    </xf>
    <xf numFmtId="172" fontId="6" fillId="8" borderId="2" xfId="11" applyNumberFormat="1" applyFont="1" applyFill="1" applyBorder="1" applyAlignment="1">
      <alignment horizontal="left" vertical="top"/>
    </xf>
    <xf numFmtId="166" fontId="2" fillId="0" borderId="1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center" wrapText="1"/>
    </xf>
    <xf numFmtId="0" fontId="19" fillId="0" borderId="0" xfId="0" applyFont="1"/>
    <xf numFmtId="17" fontId="2" fillId="0" borderId="8" xfId="0" applyNumberFormat="1" applyFont="1" applyBorder="1" applyAlignment="1">
      <alignment horizontal="center" vertical="center" wrapText="1"/>
    </xf>
    <xf numFmtId="167" fontId="2" fillId="0" borderId="9" xfId="0" applyNumberFormat="1" applyFont="1" applyBorder="1" applyAlignment="1">
      <alignment horizontal="right" vertical="top" wrapText="1"/>
    </xf>
    <xf numFmtId="0" fontId="19" fillId="0" borderId="1" xfId="0" applyFont="1" applyBorder="1"/>
    <xf numFmtId="0" fontId="19" fillId="8" borderId="1" xfId="0" applyFont="1" applyFill="1" applyBorder="1"/>
    <xf numFmtId="3" fontId="2" fillId="0" borderId="7" xfId="0" applyNumberFormat="1" applyFont="1" applyBorder="1" applyAlignment="1">
      <alignment vertical="center" wrapText="1"/>
    </xf>
    <xf numFmtId="40" fontId="19" fillId="9" borderId="1" xfId="0" applyNumberFormat="1" applyFont="1" applyFill="1" applyBorder="1" applyAlignment="1">
      <alignment horizontal="right" vertical="center"/>
    </xf>
    <xf numFmtId="171" fontId="19" fillId="0" borderId="1" xfId="0" applyNumberFormat="1" applyFont="1" applyBorder="1" applyAlignment="1">
      <alignment horizontal="right" vertical="center"/>
    </xf>
    <xf numFmtId="40" fontId="19" fillId="0" borderId="1" xfId="0" applyNumberFormat="1" applyFont="1" applyBorder="1" applyAlignment="1">
      <alignment horizontal="right" vertical="center"/>
    </xf>
    <xf numFmtId="4" fontId="1" fillId="8" borderId="1" xfId="0" applyNumberFormat="1" applyFont="1" applyFill="1" applyBorder="1" applyAlignment="1">
      <alignment horizontal="righ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8" fillId="0" borderId="0" xfId="0" applyFont="1"/>
    <xf numFmtId="0" fontId="19" fillId="10" borderId="1" xfId="0" applyFont="1" applyFill="1" applyBorder="1"/>
    <xf numFmtId="0" fontId="1" fillId="0" borderId="12" xfId="2" applyBorder="1"/>
    <xf numFmtId="0" fontId="1" fillId="0" borderId="13" xfId="2" applyBorder="1" applyAlignment="1">
      <alignment horizontal="center" vertical="distributed"/>
    </xf>
    <xf numFmtId="0" fontId="1" fillId="0" borderId="0" xfId="2" applyAlignment="1">
      <alignment vertical="center"/>
    </xf>
    <xf numFmtId="0" fontId="1" fillId="0" borderId="1" xfId="2" applyBorder="1"/>
    <xf numFmtId="0" fontId="1" fillId="0" borderId="0" xfId="2" applyAlignment="1">
      <alignment horizontal="center"/>
    </xf>
    <xf numFmtId="0" fontId="1" fillId="0" borderId="13" xfId="2" applyBorder="1" applyAlignment="1">
      <alignment horizontal="center"/>
    </xf>
    <xf numFmtId="0" fontId="1" fillId="0" borderId="14" xfId="2" applyBorder="1"/>
    <xf numFmtId="0" fontId="1" fillId="0" borderId="2" xfId="2" applyBorder="1"/>
    <xf numFmtId="0" fontId="12" fillId="4" borderId="0" xfId="2" applyFont="1" applyFill="1"/>
    <xf numFmtId="0" fontId="12" fillId="0" borderId="0" xfId="2" applyFont="1"/>
    <xf numFmtId="0" fontId="1" fillId="0" borderId="0" xfId="2" applyAlignment="1">
      <alignment vertical="center" wrapText="1"/>
    </xf>
    <xf numFmtId="0" fontId="1" fillId="0" borderId="0" xfId="2" applyAlignment="1">
      <alignment horizontal="right"/>
    </xf>
    <xf numFmtId="3" fontId="1" fillId="5" borderId="0" xfId="2" applyNumberFormat="1" applyFill="1"/>
    <xf numFmtId="0" fontId="1" fillId="8" borderId="1" xfId="2" applyFill="1" applyBorder="1"/>
    <xf numFmtId="0" fontId="2" fillId="0" borderId="0" xfId="2" applyFont="1"/>
    <xf numFmtId="10" fontId="2" fillId="0" borderId="0" xfId="2" applyNumberFormat="1" applyFont="1"/>
    <xf numFmtId="0" fontId="2" fillId="0" borderId="0" xfId="2" applyFont="1" applyAlignment="1">
      <alignment horizontal="left"/>
    </xf>
    <xf numFmtId="0" fontId="12" fillId="4" borderId="0" xfId="2" applyFont="1" applyFill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wrapText="1"/>
    </xf>
    <xf numFmtId="0" fontId="12" fillId="0" borderId="0" xfId="2" applyFont="1" applyAlignment="1">
      <alignment horizontal="center"/>
    </xf>
    <xf numFmtId="0" fontId="12" fillId="4" borderId="0" xfId="2" applyFont="1" applyFill="1" applyAlignment="1">
      <alignment horizontal="left"/>
    </xf>
    <xf numFmtId="0" fontId="13" fillId="5" borderId="0" xfId="2" applyFont="1" applyFill="1"/>
    <xf numFmtId="3" fontId="1" fillId="0" borderId="1" xfId="2" applyNumberFormat="1" applyBorder="1"/>
    <xf numFmtId="0" fontId="2" fillId="0" borderId="0" xfId="3" applyFont="1" applyAlignment="1">
      <alignment vertical="top"/>
    </xf>
    <xf numFmtId="0" fontId="1" fillId="0" borderId="0" xfId="3"/>
    <xf numFmtId="0" fontId="2" fillId="0" borderId="0" xfId="2" applyFont="1" applyAlignment="1">
      <alignment vertical="top"/>
    </xf>
    <xf numFmtId="0" fontId="1" fillId="0" borderId="0" xfId="0" applyFont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" fillId="0" borderId="9" xfId="11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" fontId="2" fillId="9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3" fontId="1" fillId="8" borderId="1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left" vertical="top" wrapText="1"/>
    </xf>
    <xf numFmtId="3" fontId="2" fillId="0" borderId="7" xfId="0" applyNumberFormat="1" applyFont="1" applyBorder="1"/>
    <xf numFmtId="0" fontId="8" fillId="0" borderId="0" xfId="0" applyFont="1" applyAlignment="1">
      <alignment horizontal="left" vertical="top" wrapText="1"/>
    </xf>
    <xf numFmtId="1" fontId="2" fillId="0" borderId="0" xfId="0" applyNumberFormat="1" applyFont="1"/>
    <xf numFmtId="14" fontId="2" fillId="0" borderId="0" xfId="0" applyNumberFormat="1" applyFont="1"/>
    <xf numFmtId="0" fontId="1" fillId="0" borderId="20" xfId="0" applyFont="1" applyBorder="1" applyAlignment="1">
      <alignment horizontal="right" vertical="center" wrapText="1"/>
    </xf>
    <xf numFmtId="0" fontId="6" fillId="8" borderId="4" xfId="9" applyFont="1" applyFill="1" applyBorder="1" applyAlignment="1">
      <alignment horizontal="left" vertical="top" wrapText="1"/>
    </xf>
    <xf numFmtId="0" fontId="1" fillId="0" borderId="22" xfId="0" applyFont="1" applyBorder="1" applyAlignment="1">
      <alignment horizontal="right" vertical="center" wrapText="1"/>
    </xf>
    <xf numFmtId="0" fontId="19" fillId="8" borderId="0" xfId="0" applyFont="1" applyFill="1" applyAlignment="1">
      <alignment horizontal="center"/>
    </xf>
    <xf numFmtId="0" fontId="19" fillId="0" borderId="7" xfId="0" applyFont="1" applyBorder="1"/>
    <xf numFmtId="0" fontId="19" fillId="0" borderId="0" xfId="0" applyFont="1" applyAlignment="1">
      <alignment vertical="center" wrapText="1"/>
    </xf>
    <xf numFmtId="40" fontId="14" fillId="0" borderId="0" xfId="5" applyNumberFormat="1" applyFont="1"/>
    <xf numFmtId="166" fontId="19" fillId="6" borderId="1" xfId="0" applyNumberFormat="1" applyFont="1" applyFill="1" applyBorder="1" applyAlignment="1">
      <alignment horizontal="right" vertical="center" wrapText="1"/>
    </xf>
    <xf numFmtId="0" fontId="6" fillId="3" borderId="4" xfId="8" applyFont="1" applyFill="1" applyBorder="1" applyAlignment="1">
      <alignment horizontal="left" vertical="top" wrapText="1"/>
    </xf>
    <xf numFmtId="172" fontId="1" fillId="8" borderId="1" xfId="11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73" fontId="1" fillId="0" borderId="18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2" fillId="7" borderId="29" xfId="0" applyNumberFormat="1" applyFont="1" applyFill="1" applyBorder="1"/>
    <xf numFmtId="38" fontId="2" fillId="7" borderId="29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40" fontId="2" fillId="9" borderId="1" xfId="0" applyNumberFormat="1" applyFont="1" applyFill="1" applyBorder="1" applyAlignment="1">
      <alignment horizontal="center" vertical="center" wrapText="1"/>
    </xf>
    <xf numFmtId="38" fontId="2" fillId="9" borderId="3" xfId="0" applyNumberFormat="1" applyFont="1" applyFill="1" applyBorder="1" applyAlignment="1">
      <alignment horizontal="center" vertical="center" wrapText="1"/>
    </xf>
    <xf numFmtId="0" fontId="6" fillId="3" borderId="1" xfId="6" applyFont="1" applyFill="1" applyBorder="1" applyAlignment="1">
      <alignment horizontal="left" vertical="top" wrapText="1"/>
    </xf>
    <xf numFmtId="40" fontId="6" fillId="3" borderId="1" xfId="6" applyNumberFormat="1" applyFont="1" applyFill="1" applyBorder="1" applyAlignment="1">
      <alignment horizontal="right" vertical="top"/>
    </xf>
    <xf numFmtId="1" fontId="2" fillId="8" borderId="1" xfId="0" applyNumberFormat="1" applyFont="1" applyFill="1" applyBorder="1" applyAlignment="1">
      <alignment horizontal="left" vertical="center" wrapText="1" indent="2"/>
    </xf>
    <xf numFmtId="2" fontId="1" fillId="0" borderId="1" xfId="0" applyNumberFormat="1" applyFont="1" applyBorder="1" applyAlignment="1">
      <alignment horizontal="left" vertical="center" wrapText="1" indent="2"/>
    </xf>
    <xf numFmtId="1" fontId="1" fillId="0" borderId="1" xfId="0" applyNumberFormat="1" applyFont="1" applyBorder="1" applyAlignment="1">
      <alignment vertical="center" wrapText="1"/>
    </xf>
    <xf numFmtId="38" fontId="6" fillId="3" borderId="3" xfId="6" applyNumberFormat="1" applyFont="1" applyFill="1" applyBorder="1" applyAlignment="1">
      <alignment horizontal="right" vertical="top"/>
    </xf>
    <xf numFmtId="1" fontId="1" fillId="8" borderId="1" xfId="0" applyNumberFormat="1" applyFont="1" applyFill="1" applyBorder="1" applyAlignment="1">
      <alignment horizontal="left" vertical="center" wrapText="1" indent="2"/>
    </xf>
    <xf numFmtId="38" fontId="2" fillId="9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3" fontId="2" fillId="0" borderId="0" xfId="0" applyNumberFormat="1" applyFont="1" applyAlignment="1">
      <alignment vertical="center" wrapText="1"/>
    </xf>
    <xf numFmtId="0" fontId="1" fillId="0" borderId="30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/>
    </xf>
    <xf numFmtId="0" fontId="1" fillId="0" borderId="33" xfId="0" applyFont="1" applyBorder="1" applyAlignment="1">
      <alignment horizontal="left" vertical="top" wrapText="1"/>
    </xf>
    <xf numFmtId="0" fontId="6" fillId="3" borderId="1" xfId="4" applyFont="1" applyFill="1" applyBorder="1" applyAlignment="1">
      <alignment horizontal="left" vertical="top" wrapText="1"/>
    </xf>
    <xf numFmtId="40" fontId="6" fillId="3" borderId="1" xfId="4" applyNumberFormat="1" applyFont="1" applyFill="1" applyBorder="1" applyAlignment="1">
      <alignment horizontal="right" vertical="top"/>
    </xf>
    <xf numFmtId="40" fontId="6" fillId="0" borderId="1" xfId="4" applyNumberFormat="1" applyFont="1" applyBorder="1" applyAlignment="1">
      <alignment horizontal="right" vertical="top"/>
    </xf>
    <xf numFmtId="1" fontId="1" fillId="0" borderId="1" xfId="0" applyNumberFormat="1" applyFont="1" applyBorder="1" applyAlignment="1">
      <alignment vertical="top" wrapText="1"/>
    </xf>
    <xf numFmtId="38" fontId="6" fillId="0" borderId="1" xfId="4" applyNumberFormat="1" applyFont="1" applyBorder="1" applyAlignment="1">
      <alignment horizontal="right" vertical="top"/>
    </xf>
    <xf numFmtId="38" fontId="6" fillId="3" borderId="4" xfId="4" applyNumberFormat="1" applyFont="1" applyFill="1" applyBorder="1" applyAlignment="1">
      <alignment horizontal="right" vertical="top"/>
    </xf>
    <xf numFmtId="0" fontId="1" fillId="0" borderId="34" xfId="0" applyFont="1" applyBorder="1" applyAlignment="1">
      <alignment horizontal="right" vertical="center" wrapText="1"/>
    </xf>
    <xf numFmtId="40" fontId="6" fillId="3" borderId="4" xfId="4" applyNumberFormat="1" applyFont="1" applyFill="1" applyBorder="1" applyAlignment="1">
      <alignment horizontal="right" vertical="top"/>
    </xf>
    <xf numFmtId="0" fontId="1" fillId="0" borderId="28" xfId="0" applyFont="1" applyBorder="1" applyAlignment="1">
      <alignment horizontal="right" vertical="center" wrapText="1"/>
    </xf>
    <xf numFmtId="17" fontId="2" fillId="11" borderId="1" xfId="0" applyNumberFormat="1" applyFont="1" applyFill="1" applyBorder="1" applyAlignment="1">
      <alignment horizontal="left" vertical="center" wrapText="1" indent="2"/>
    </xf>
    <xf numFmtId="40" fontId="14" fillId="3" borderId="4" xfId="10" applyNumberFormat="1" applyFont="1" applyFill="1" applyBorder="1" applyAlignment="1">
      <alignment horizontal="right" vertical="top"/>
    </xf>
    <xf numFmtId="168" fontId="19" fillId="0" borderId="0" xfId="0" applyNumberFormat="1" applyFont="1"/>
    <xf numFmtId="174" fontId="2" fillId="0" borderId="9" xfId="0" applyNumberFormat="1" applyFont="1" applyBorder="1" applyAlignment="1">
      <alignment horizontal="right" vertical="top" wrapText="1"/>
    </xf>
    <xf numFmtId="3" fontId="2" fillId="9" borderId="1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right" vertical="center"/>
    </xf>
    <xf numFmtId="3" fontId="1" fillId="8" borderId="2" xfId="0" applyNumberFormat="1" applyFont="1" applyFill="1" applyBorder="1" applyAlignment="1">
      <alignment horizontal="right" vertical="center"/>
    </xf>
    <xf numFmtId="3" fontId="6" fillId="8" borderId="2" xfId="7" applyNumberFormat="1" applyFont="1" applyFill="1" applyBorder="1" applyAlignment="1">
      <alignment horizontal="left" vertical="top"/>
    </xf>
    <xf numFmtId="3" fontId="6" fillId="8" borderId="0" xfId="9" applyNumberFormat="1" applyFont="1" applyFill="1" applyAlignment="1">
      <alignment horizontal="right" vertical="top"/>
    </xf>
    <xf numFmtId="3" fontId="6" fillId="8" borderId="4" xfId="9" applyNumberFormat="1" applyFont="1" applyFill="1" applyBorder="1" applyAlignment="1">
      <alignment horizontal="right" vertical="top"/>
    </xf>
    <xf numFmtId="3" fontId="6" fillId="8" borderId="2" xfId="7" applyNumberFormat="1" applyFont="1" applyFill="1" applyBorder="1" applyAlignment="1">
      <alignment horizontal="right" vertical="top"/>
    </xf>
    <xf numFmtId="3" fontId="19" fillId="8" borderId="0" xfId="0" applyNumberFormat="1" applyFont="1" applyFill="1" applyAlignment="1">
      <alignment horizontal="center"/>
    </xf>
    <xf numFmtId="3" fontId="6" fillId="8" borderId="4" xfId="9" applyNumberFormat="1" applyFont="1" applyFill="1" applyBorder="1" applyAlignment="1">
      <alignment horizontal="left" vertical="top"/>
    </xf>
    <xf numFmtId="3" fontId="6" fillId="8" borderId="0" xfId="9" applyNumberFormat="1" applyFont="1" applyFill="1" applyAlignment="1">
      <alignment horizontal="left" vertical="top"/>
    </xf>
    <xf numFmtId="167" fontId="19" fillId="0" borderId="1" xfId="0" applyNumberFormat="1" applyFont="1" applyBorder="1" applyAlignment="1">
      <alignment horizontal="right" vertical="center"/>
    </xf>
    <xf numFmtId="167" fontId="6" fillId="8" borderId="1" xfId="6" applyNumberFormat="1" applyFont="1" applyFill="1" applyBorder="1" applyAlignment="1">
      <alignment vertical="top"/>
    </xf>
    <xf numFmtId="167" fontId="1" fillId="0" borderId="1" xfId="0" applyNumberFormat="1" applyFont="1" applyBorder="1" applyAlignment="1">
      <alignment horizontal="right" vertical="center"/>
    </xf>
    <xf numFmtId="167" fontId="19" fillId="8" borderId="1" xfId="0" applyNumberFormat="1" applyFont="1" applyFill="1" applyBorder="1"/>
    <xf numFmtId="167" fontId="6" fillId="8" borderId="1" xfId="6" applyNumberFormat="1" applyFont="1" applyFill="1" applyBorder="1" applyAlignment="1">
      <alignment horizontal="right" vertical="top"/>
    </xf>
    <xf numFmtId="167" fontId="19" fillId="0" borderId="1" xfId="0" applyNumberFormat="1" applyFont="1" applyBorder="1"/>
    <xf numFmtId="167" fontId="1" fillId="8" borderId="1" xfId="0" applyNumberFormat="1" applyFont="1" applyFill="1" applyBorder="1" applyAlignment="1">
      <alignment vertical="center" wrapText="1"/>
    </xf>
    <xf numFmtId="167" fontId="2" fillId="8" borderId="1" xfId="0" applyNumberFormat="1" applyFont="1" applyFill="1" applyBorder="1" applyAlignment="1">
      <alignment horizontal="left" vertical="center" wrapText="1" indent="2"/>
    </xf>
    <xf numFmtId="167" fontId="2" fillId="0" borderId="7" xfId="0" applyNumberFormat="1" applyFont="1" applyBorder="1" applyAlignment="1">
      <alignment vertical="center" wrapText="1"/>
    </xf>
    <xf numFmtId="167" fontId="6" fillId="8" borderId="2" xfId="7" applyNumberFormat="1" applyFont="1" applyFill="1" applyBorder="1" applyAlignment="1">
      <alignment horizontal="right" vertical="top"/>
    </xf>
    <xf numFmtId="167" fontId="19" fillId="9" borderId="1" xfId="0" applyNumberFormat="1" applyFont="1" applyFill="1" applyBorder="1" applyAlignment="1">
      <alignment horizontal="right" vertical="center"/>
    </xf>
    <xf numFmtId="167" fontId="1" fillId="8" borderId="1" xfId="0" applyNumberFormat="1" applyFont="1" applyFill="1" applyBorder="1" applyAlignment="1">
      <alignment horizontal="right" vertical="center"/>
    </xf>
    <xf numFmtId="167" fontId="6" fillId="8" borderId="2" xfId="7" applyNumberFormat="1" applyFont="1" applyFill="1" applyBorder="1" applyAlignment="1">
      <alignment horizontal="left" vertical="top"/>
    </xf>
    <xf numFmtId="3" fontId="1" fillId="8" borderId="0" xfId="2" applyNumberFormat="1" applyFill="1"/>
    <xf numFmtId="3" fontId="1" fillId="12" borderId="0" xfId="2" applyNumberFormat="1" applyFill="1"/>
    <xf numFmtId="172" fontId="1" fillId="0" borderId="1" xfId="11" applyNumberFormat="1" applyFont="1" applyFill="1" applyBorder="1" applyAlignment="1">
      <alignment horizontal="left" vertical="center" wrapText="1" indent="2"/>
    </xf>
    <xf numFmtId="1" fontId="6" fillId="3" borderId="1" xfId="6" applyNumberFormat="1" applyFont="1" applyFill="1" applyBorder="1" applyAlignment="1">
      <alignment horizontal="right" vertical="top"/>
    </xf>
    <xf numFmtId="1" fontId="2" fillId="9" borderId="1" xfId="0" applyNumberFormat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4" fontId="19" fillId="0" borderId="1" xfId="0" applyNumberFormat="1" applyFont="1" applyBorder="1"/>
    <xf numFmtId="170" fontId="19" fillId="0" borderId="0" xfId="0" applyNumberFormat="1" applyFont="1"/>
    <xf numFmtId="40" fontId="6" fillId="8" borderId="4" xfId="8" applyNumberFormat="1" applyFont="1" applyFill="1" applyBorder="1" applyAlignment="1">
      <alignment vertical="top"/>
    </xf>
    <xf numFmtId="40" fontId="6" fillId="8" borderId="2" xfId="7" applyNumberFormat="1" applyFont="1" applyFill="1" applyBorder="1" applyAlignment="1">
      <alignment vertical="top"/>
    </xf>
    <xf numFmtId="17" fontId="2" fillId="0" borderId="3" xfId="0" applyNumberFormat="1" applyFont="1" applyBorder="1" applyAlignment="1">
      <alignment vertical="center" wrapText="1"/>
    </xf>
    <xf numFmtId="17" fontId="2" fillId="0" borderId="16" xfId="0" applyNumberFormat="1" applyFont="1" applyBorder="1" applyAlignment="1">
      <alignment vertical="center" wrapText="1"/>
    </xf>
    <xf numFmtId="3" fontId="1" fillId="8" borderId="0" xfId="0" applyNumberFormat="1" applyFont="1" applyFill="1" applyAlignment="1">
      <alignment horizontal="right" vertical="center"/>
    </xf>
    <xf numFmtId="38" fontId="19" fillId="0" borderId="0" xfId="0" applyNumberFormat="1" applyFont="1"/>
    <xf numFmtId="9" fontId="2" fillId="0" borderId="1" xfId="0" applyNumberFormat="1" applyFont="1" applyBorder="1" applyAlignment="1">
      <alignment horizontal="center"/>
    </xf>
    <xf numFmtId="40" fontId="2" fillId="0" borderId="1" xfId="0" applyNumberFormat="1" applyFont="1" applyBorder="1" applyAlignment="1">
      <alignment horizontal="right" vertical="center"/>
    </xf>
    <xf numFmtId="38" fontId="6" fillId="0" borderId="3" xfId="6" applyNumberFormat="1" applyFont="1" applyBorder="1" applyAlignment="1">
      <alignment horizontal="right" vertical="top"/>
    </xf>
    <xf numFmtId="3" fontId="1" fillId="8" borderId="1" xfId="0" applyNumberFormat="1" applyFont="1" applyFill="1" applyBorder="1" applyAlignment="1">
      <alignment horizontal="right" vertical="center"/>
    </xf>
    <xf numFmtId="0" fontId="1" fillId="0" borderId="36" xfId="0" applyFont="1" applyBorder="1" applyAlignment="1">
      <alignment horizontal="center" vertical="center" wrapText="1"/>
    </xf>
    <xf numFmtId="172" fontId="1" fillId="0" borderId="1" xfId="11" applyNumberFormat="1" applyFont="1" applyFill="1" applyBorder="1" applyAlignment="1">
      <alignment horizontal="right" vertical="center"/>
    </xf>
    <xf numFmtId="0" fontId="20" fillId="0" borderId="0" xfId="0" applyFont="1"/>
    <xf numFmtId="171" fontId="19" fillId="9" borderId="1" xfId="0" applyNumberFormat="1" applyFont="1" applyFill="1" applyBorder="1" applyAlignment="1">
      <alignment horizontal="right" vertical="center"/>
    </xf>
    <xf numFmtId="3" fontId="19" fillId="13" borderId="0" xfId="0" applyNumberFormat="1" applyFont="1" applyFill="1"/>
    <xf numFmtId="3" fontId="1" fillId="13" borderId="0" xfId="2" applyNumberFormat="1" applyFill="1"/>
    <xf numFmtId="172" fontId="1" fillId="14" borderId="1" xfId="11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center"/>
    </xf>
    <xf numFmtId="3" fontId="1" fillId="0" borderId="0" xfId="2" applyNumberFormat="1"/>
    <xf numFmtId="165" fontId="1" fillId="0" borderId="9" xfId="11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72" fontId="1" fillId="0" borderId="1" xfId="11" applyNumberFormat="1" applyFont="1" applyFill="1" applyBorder="1" applyAlignment="1">
      <alignment horizontal="left" vertical="center"/>
    </xf>
    <xf numFmtId="0" fontId="19" fillId="0" borderId="1" xfId="0" applyFont="1" applyBorder="1" applyAlignment="1">
      <alignment wrapText="1"/>
    </xf>
    <xf numFmtId="0" fontId="19" fillId="0" borderId="27" xfId="0" applyFont="1" applyBorder="1" applyAlignment="1">
      <alignment wrapText="1"/>
    </xf>
    <xf numFmtId="0" fontId="21" fillId="0" borderId="1" xfId="0" applyFont="1" applyBorder="1"/>
    <xf numFmtId="0" fontId="22" fillId="0" borderId="1" xfId="0" applyFont="1" applyBorder="1"/>
    <xf numFmtId="0" fontId="22" fillId="13" borderId="1" xfId="0" applyFont="1" applyFill="1" applyBorder="1"/>
    <xf numFmtId="0" fontId="21" fillId="0" borderId="0" xfId="0" applyFont="1"/>
    <xf numFmtId="0" fontId="22" fillId="0" borderId="0" xfId="0" applyFont="1"/>
    <xf numFmtId="3" fontId="19" fillId="0" borderId="0" xfId="0" applyNumberFormat="1" applyFont="1"/>
    <xf numFmtId="0" fontId="23" fillId="0" borderId="0" xfId="0" applyFont="1"/>
    <xf numFmtId="0" fontId="24" fillId="13" borderId="0" xfId="0" applyFont="1" applyFill="1"/>
    <xf numFmtId="0" fontId="24" fillId="0" borderId="0" xfId="0" applyFont="1"/>
    <xf numFmtId="0" fontId="25" fillId="0" borderId="0" xfId="0" applyFont="1" applyAlignment="1">
      <alignment wrapText="1"/>
    </xf>
    <xf numFmtId="0" fontId="25" fillId="0" borderId="0" xfId="0" applyFont="1"/>
    <xf numFmtId="0" fontId="19" fillId="0" borderId="36" xfId="0" applyFont="1" applyBorder="1" applyAlignment="1">
      <alignment wrapText="1"/>
    </xf>
    <xf numFmtId="0" fontId="21" fillId="13" borderId="1" xfId="0" applyFont="1" applyFill="1" applyBorder="1"/>
    <xf numFmtId="0" fontId="26" fillId="13" borderId="0" xfId="0" applyFont="1" applyFill="1"/>
    <xf numFmtId="0" fontId="21" fillId="0" borderId="1" xfId="0" applyFont="1" applyBorder="1" applyAlignment="1">
      <alignment wrapText="1"/>
    </xf>
    <xf numFmtId="0" fontId="27" fillId="0" borderId="1" xfId="1" applyFont="1" applyBorder="1" applyAlignment="1">
      <alignment wrapText="1"/>
    </xf>
    <xf numFmtId="0" fontId="21" fillId="0" borderId="0" xfId="0" applyFont="1" applyAlignment="1">
      <alignment wrapText="1"/>
    </xf>
    <xf numFmtId="9" fontId="19" fillId="0" borderId="1" xfId="0" applyNumberFormat="1" applyFont="1" applyBorder="1"/>
    <xf numFmtId="10" fontId="19" fillId="8" borderId="1" xfId="0" applyNumberFormat="1" applyFont="1" applyFill="1" applyBorder="1"/>
    <xf numFmtId="1" fontId="19" fillId="8" borderId="1" xfId="0" applyNumberFormat="1" applyFont="1" applyFill="1" applyBorder="1"/>
    <xf numFmtId="172" fontId="19" fillId="8" borderId="1" xfId="11" applyNumberFormat="1" applyFont="1" applyFill="1" applyBorder="1"/>
    <xf numFmtId="172" fontId="19" fillId="0" borderId="1" xfId="11" applyNumberFormat="1" applyFont="1" applyBorder="1"/>
    <xf numFmtId="172" fontId="19" fillId="0" borderId="1" xfId="11" applyNumberFormat="1" applyFont="1" applyFill="1" applyBorder="1"/>
    <xf numFmtId="175" fontId="19" fillId="8" borderId="1" xfId="11" applyNumberFormat="1" applyFont="1" applyFill="1" applyBorder="1"/>
    <xf numFmtId="172" fontId="19" fillId="14" borderId="1" xfId="11" applyNumberFormat="1" applyFont="1" applyFill="1" applyBorder="1"/>
    <xf numFmtId="0" fontId="28" fillId="0" borderId="0" xfId="0" applyFont="1"/>
    <xf numFmtId="172" fontId="21" fillId="0" borderId="1" xfId="11" applyNumberFormat="1" applyFont="1" applyBorder="1"/>
    <xf numFmtId="172" fontId="21" fillId="14" borderId="1" xfId="11" applyNumberFormat="1" applyFont="1" applyFill="1" applyBorder="1"/>
    <xf numFmtId="172" fontId="21" fillId="0" borderId="1" xfId="11" applyNumberFormat="1" applyFont="1" applyBorder="1" applyAlignment="1">
      <alignment horizontal="left"/>
    </xf>
    <xf numFmtId="172" fontId="19" fillId="9" borderId="1" xfId="11" applyNumberFormat="1" applyFont="1" applyFill="1" applyBorder="1"/>
    <xf numFmtId="172" fontId="19" fillId="0" borderId="0" xfId="0" applyNumberFormat="1" applyFont="1"/>
    <xf numFmtId="173" fontId="1" fillId="0" borderId="1" xfId="0" applyNumberFormat="1" applyFont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center" vertical="center" wrapText="1"/>
    </xf>
    <xf numFmtId="1" fontId="6" fillId="0" borderId="1" xfId="6" applyNumberFormat="1" applyFont="1" applyBorder="1" applyAlignment="1">
      <alignment horizontal="right" vertical="top"/>
    </xf>
    <xf numFmtId="1" fontId="2" fillId="0" borderId="1" xfId="0" applyNumberFormat="1" applyFont="1" applyBorder="1" applyAlignment="1">
      <alignment horizontal="center" vertical="center" wrapText="1"/>
    </xf>
    <xf numFmtId="3" fontId="2" fillId="0" borderId="29" xfId="0" applyNumberFormat="1" applyFont="1" applyBorder="1"/>
    <xf numFmtId="0" fontId="1" fillId="0" borderId="0" xfId="0" applyFont="1" applyAlignment="1">
      <alignment horizontal="right" wrapText="1"/>
    </xf>
    <xf numFmtId="0" fontId="26" fillId="0" borderId="0" xfId="0" applyFont="1"/>
    <xf numFmtId="1" fontId="1" fillId="0" borderId="0" xfId="2" applyNumberFormat="1"/>
    <xf numFmtId="1" fontId="19" fillId="0" borderId="0" xfId="0" applyNumberFormat="1" applyFont="1"/>
    <xf numFmtId="0" fontId="1" fillId="0" borderId="13" xfId="2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3" fontId="28" fillId="15" borderId="0" xfId="2" applyNumberFormat="1" applyFont="1" applyFill="1"/>
    <xf numFmtId="3" fontId="1" fillId="15" borderId="0" xfId="2" applyNumberFormat="1" applyFill="1"/>
    <xf numFmtId="0" fontId="13" fillId="15" borderId="0" xfId="2" applyFont="1" applyFill="1"/>
    <xf numFmtId="17" fontId="2" fillId="15" borderId="1" xfId="0" applyNumberFormat="1" applyFont="1" applyFill="1" applyBorder="1" applyAlignment="1">
      <alignment horizontal="left" vertical="center" wrapText="1" indent="2"/>
    </xf>
    <xf numFmtId="0" fontId="1" fillId="13" borderId="35" xfId="0" applyFont="1" applyFill="1" applyBorder="1" applyAlignment="1">
      <alignment horizontal="center" vertical="center" wrapText="1"/>
    </xf>
    <xf numFmtId="10" fontId="1" fillId="0" borderId="9" xfId="11" applyNumberFormat="1" applyFont="1" applyFill="1" applyBorder="1" applyAlignment="1">
      <alignment horizontal="center" vertical="center" wrapText="1"/>
    </xf>
    <xf numFmtId="10" fontId="1" fillId="0" borderId="9" xfId="0" applyNumberFormat="1" applyFont="1" applyBorder="1" applyAlignment="1">
      <alignment horizontal="center" vertical="center" wrapText="1"/>
    </xf>
    <xf numFmtId="4" fontId="21" fillId="0" borderId="0" xfId="0" applyNumberFormat="1" applyFont="1"/>
    <xf numFmtId="3" fontId="21" fillId="0" borderId="0" xfId="0" applyNumberFormat="1" applyFont="1"/>
    <xf numFmtId="3" fontId="6" fillId="8" borderId="0" xfId="9" applyNumberFormat="1" applyFont="1" applyFill="1" applyAlignment="1">
      <alignment horizontal="center" vertical="top"/>
    </xf>
    <xf numFmtId="3" fontId="1" fillId="8" borderId="2" xfId="0" applyNumberFormat="1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/>
    </xf>
    <xf numFmtId="0" fontId="1" fillId="13" borderId="10" xfId="0" applyFont="1" applyFill="1" applyBorder="1" applyAlignment="1">
      <alignment horizontal="center" vertical="center" wrapText="1"/>
    </xf>
    <xf numFmtId="3" fontId="1" fillId="15" borderId="1" xfId="0" applyNumberFormat="1" applyFont="1" applyFill="1" applyBorder="1" applyAlignment="1">
      <alignment horizontal="right" vertical="center" wrapText="1"/>
    </xf>
    <xf numFmtId="4" fontId="6" fillId="8" borderId="2" xfId="7" applyNumberFormat="1" applyFont="1" applyFill="1" applyBorder="1" applyAlignment="1">
      <alignment horizontal="right" vertical="top"/>
    </xf>
    <xf numFmtId="3" fontId="1" fillId="16" borderId="0" xfId="2" applyNumberFormat="1" applyFill="1"/>
    <xf numFmtId="2" fontId="2" fillId="16" borderId="1" xfId="0" applyNumberFormat="1" applyFont="1" applyFill="1" applyBorder="1" applyAlignment="1">
      <alignment horizontal="left" vertical="center" wrapText="1" indent="2"/>
    </xf>
    <xf numFmtId="1" fontId="21" fillId="0" borderId="0" xfId="0" applyNumberFormat="1" applyFont="1"/>
    <xf numFmtId="3" fontId="28" fillId="16" borderId="0" xfId="2" applyNumberFormat="1" applyFont="1" applyFill="1"/>
    <xf numFmtId="38" fontId="19" fillId="0" borderId="1" xfId="0" applyNumberFormat="1" applyFont="1" applyBorder="1" applyAlignment="1">
      <alignment horizontal="right" vertical="center"/>
    </xf>
    <xf numFmtId="38" fontId="2" fillId="0" borderId="7" xfId="0" applyNumberFormat="1" applyFont="1" applyBorder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2" fillId="4" borderId="0" xfId="2" applyFont="1" applyFill="1" applyAlignment="1">
      <alignment horizontal="center"/>
    </xf>
    <xf numFmtId="0" fontId="1" fillId="0" borderId="0" xfId="2" applyAlignment="1">
      <alignment horizontal="left" vertical="center" wrapText="1"/>
    </xf>
    <xf numFmtId="0" fontId="1" fillId="0" borderId="0" xfId="2" applyAlignment="1">
      <alignment horizontal="left" vertical="top" wrapText="1"/>
    </xf>
    <xf numFmtId="0" fontId="1" fillId="0" borderId="0" xfId="2" applyAlignment="1">
      <alignment horizontal="center"/>
    </xf>
    <xf numFmtId="0" fontId="1" fillId="0" borderId="0" xfId="3" applyAlignment="1">
      <alignment horizontal="left" vertical="top" wrapText="1"/>
    </xf>
    <xf numFmtId="0" fontId="11" fillId="4" borderId="0" xfId="2" applyFont="1" applyFill="1" applyAlignment="1">
      <alignment horizontal="center"/>
    </xf>
    <xf numFmtId="0" fontId="12" fillId="4" borderId="0" xfId="2" applyFont="1" applyFill="1" applyAlignment="1">
      <alignment horizontal="center" wrapText="1"/>
    </xf>
    <xf numFmtId="0" fontId="1" fillId="0" borderId="0" xfId="2" applyAlignment="1">
      <alignment horizontal="center" wrapText="1"/>
    </xf>
    <xf numFmtId="0" fontId="1" fillId="0" borderId="0" xfId="2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1" fillId="0" borderId="0" xfId="0" applyFont="1" applyAlignment="1">
      <alignment horizontal="center"/>
    </xf>
    <xf numFmtId="0" fontId="19" fillId="0" borderId="17" xfId="0" applyFont="1" applyBorder="1" applyAlignment="1">
      <alignment horizontal="center"/>
    </xf>
    <xf numFmtId="0" fontId="21" fillId="13" borderId="3" xfId="0" applyFont="1" applyFill="1" applyBorder="1" applyAlignment="1">
      <alignment horizontal="center"/>
    </xf>
    <xf numFmtId="0" fontId="21" fillId="13" borderId="14" xfId="0" applyFont="1" applyFill="1" applyBorder="1" applyAlignment="1">
      <alignment horizontal="center"/>
    </xf>
    <xf numFmtId="0" fontId="21" fillId="13" borderId="2" xfId="0" applyFont="1" applyFill="1" applyBorder="1" applyAlignment="1">
      <alignment horizontal="center"/>
    </xf>
    <xf numFmtId="0" fontId="19" fillId="0" borderId="3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21" fillId="0" borderId="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19" fillId="0" borderId="3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7" borderId="39" xfId="0" applyFont="1" applyFill="1" applyBorder="1" applyAlignment="1">
      <alignment horizontal="left" vertical="center" wrapText="1"/>
    </xf>
    <xf numFmtId="0" fontId="2" fillId="7" borderId="21" xfId="0" applyFont="1" applyFill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7" xfId="0" applyNumberFormat="1" applyFont="1" applyBorder="1"/>
    <xf numFmtId="4" fontId="19" fillId="0" borderId="0" xfId="0" applyNumberFormat="1" applyFont="1"/>
  </cellXfs>
  <cellStyles count="12">
    <cellStyle name="Гиперссылка" xfId="1" builtinId="8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_4.1.1" xfId="4" xr:uid="{00000000-0005-0000-0000-000004000000}"/>
    <cellStyle name="Обычный_4.1.1_1" xfId="5" xr:uid="{00000000-0005-0000-0000-000005000000}"/>
    <cellStyle name="Обычный_5.1.1" xfId="6" xr:uid="{00000000-0005-0000-0000-000006000000}"/>
    <cellStyle name="Обычный_6.1.1" xfId="7" xr:uid="{00000000-0005-0000-0000-000007000000}"/>
    <cellStyle name="Обычный_Регистр по ИПН" xfId="8" xr:uid="{00000000-0005-0000-0000-000008000000}"/>
    <cellStyle name="Обычный_Регистр по расчету ОПВ" xfId="9" xr:uid="{00000000-0005-0000-0000-000009000000}"/>
    <cellStyle name="Обычный_Регистр по соц. налогу" xfId="10" xr:uid="{00000000-0005-0000-0000-00000A000000}"/>
    <cellStyle name="Финансовый" xfId="1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firstButton="1" lockText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Radio" lockText="1"/>
</file>

<file path=xl/ctrlProps/ctrlProp9.xml><?xml version="1.0" encoding="utf-8"?>
<formControlPr xmlns="http://schemas.microsoft.com/office/spreadsheetml/2009/9/main" objectType="Radio" checked="Checked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83820</xdr:colOff>
          <xdr:row>0</xdr:row>
          <xdr:rowOff>152400</xdr:rowOff>
        </xdr:from>
        <xdr:to>
          <xdr:col>1</xdr:col>
          <xdr:colOff>152400</xdr:colOff>
          <xdr:row>2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236220</xdr:colOff>
          <xdr:row>16</xdr:row>
          <xdr:rowOff>83820</xdr:rowOff>
        </xdr:from>
        <xdr:to>
          <xdr:col>3</xdr:col>
          <xdr:colOff>121920</xdr:colOff>
          <xdr:row>17</xdr:row>
          <xdr:rowOff>121920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K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первоначальная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16</xdr:row>
          <xdr:rowOff>99060</xdr:rowOff>
        </xdr:from>
        <xdr:to>
          <xdr:col>7</xdr:col>
          <xdr:colOff>0</xdr:colOff>
          <xdr:row>17</xdr:row>
          <xdr:rowOff>121920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K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дополнительная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259080</xdr:colOff>
          <xdr:row>16</xdr:row>
          <xdr:rowOff>121920</xdr:rowOff>
        </xdr:from>
        <xdr:to>
          <xdr:col>10</xdr:col>
          <xdr:colOff>601980</xdr:colOff>
          <xdr:row>17</xdr:row>
          <xdr:rowOff>121920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K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дополнительная по уведомлению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50</xdr:row>
          <xdr:rowOff>0</xdr:rowOff>
        </xdr:from>
        <xdr:to>
          <xdr:col>7</xdr:col>
          <xdr:colOff>236220</xdr:colOff>
          <xdr:row>51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K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601980</xdr:colOff>
          <xdr:row>49</xdr:row>
          <xdr:rowOff>144780</xdr:rowOff>
        </xdr:from>
        <xdr:to>
          <xdr:col>8</xdr:col>
          <xdr:colOff>426720</xdr:colOff>
          <xdr:row>51</xdr:row>
          <xdr:rowOff>60960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K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49</xdr:row>
          <xdr:rowOff>152400</xdr:rowOff>
        </xdr:from>
        <xdr:to>
          <xdr:col>10</xdr:col>
          <xdr:colOff>60960</xdr:colOff>
          <xdr:row>51</xdr:row>
          <xdr:rowOff>68580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K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144780</xdr:colOff>
          <xdr:row>16</xdr:row>
          <xdr:rowOff>106680</xdr:rowOff>
        </xdr:from>
        <xdr:to>
          <xdr:col>13</xdr:col>
          <xdr:colOff>0</xdr:colOff>
          <xdr:row>17</xdr:row>
          <xdr:rowOff>137160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K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ликвидационная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144780</xdr:colOff>
          <xdr:row>16</xdr:row>
          <xdr:rowOff>83820</xdr:rowOff>
        </xdr:from>
        <xdr:to>
          <xdr:col>4</xdr:col>
          <xdr:colOff>419100</xdr:colOff>
          <xdr:row>18</xdr:row>
          <xdr:rowOff>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K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очередная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26</xdr:row>
          <xdr:rowOff>0</xdr:rowOff>
        </xdr:from>
        <xdr:to>
          <xdr:col>12</xdr:col>
          <xdr:colOff>594360</xdr:colOff>
          <xdr:row>27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28</xdr:row>
          <xdr:rowOff>0</xdr:rowOff>
        </xdr:from>
        <xdr:to>
          <xdr:col>12</xdr:col>
          <xdr:colOff>525780</xdr:colOff>
          <xdr:row>29</xdr:row>
          <xdr:rowOff>60960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30</xdr:row>
          <xdr:rowOff>0</xdr:rowOff>
        </xdr:from>
        <xdr:to>
          <xdr:col>13</xdr:col>
          <xdr:colOff>22860</xdr:colOff>
          <xdr:row>30</xdr:row>
          <xdr:rowOff>426720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22860</xdr:colOff>
          <xdr:row>49</xdr:row>
          <xdr:rowOff>144780</xdr:rowOff>
        </xdr:from>
        <xdr:to>
          <xdr:col>11</xdr:col>
          <xdr:colOff>76200</xdr:colOff>
          <xdr:row>51</xdr:row>
          <xdr:rowOff>60960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K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32</xdr:row>
          <xdr:rowOff>0</xdr:rowOff>
        </xdr:from>
        <xdr:to>
          <xdr:col>13</xdr:col>
          <xdr:colOff>22860</xdr:colOff>
          <xdr:row>32</xdr:row>
          <xdr:rowOff>426720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34</xdr:row>
          <xdr:rowOff>0</xdr:rowOff>
        </xdr:from>
        <xdr:to>
          <xdr:col>13</xdr:col>
          <xdr:colOff>22860</xdr:colOff>
          <xdr:row>34</xdr:row>
          <xdr:rowOff>426720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42</xdr:row>
          <xdr:rowOff>0</xdr:rowOff>
        </xdr:from>
        <xdr:to>
          <xdr:col>9</xdr:col>
          <xdr:colOff>22860</xdr:colOff>
          <xdr:row>43</xdr:row>
          <xdr:rowOff>144780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579120</xdr:colOff>
          <xdr:row>42</xdr:row>
          <xdr:rowOff>0</xdr:rowOff>
        </xdr:from>
        <xdr:to>
          <xdr:col>8</xdr:col>
          <xdr:colOff>601980</xdr:colOff>
          <xdr:row>43</xdr:row>
          <xdr:rowOff>144780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42</xdr:row>
          <xdr:rowOff>0</xdr:rowOff>
        </xdr:from>
        <xdr:to>
          <xdr:col>13</xdr:col>
          <xdr:colOff>22860</xdr:colOff>
          <xdr:row>43</xdr:row>
          <xdr:rowOff>144780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49</xdr:row>
          <xdr:rowOff>121920</xdr:rowOff>
        </xdr:from>
        <xdr:to>
          <xdr:col>12</xdr:col>
          <xdr:colOff>60960</xdr:colOff>
          <xdr:row>51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K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36</xdr:row>
          <xdr:rowOff>0</xdr:rowOff>
        </xdr:from>
        <xdr:to>
          <xdr:col>13</xdr:col>
          <xdr:colOff>22860</xdr:colOff>
          <xdr:row>36</xdr:row>
          <xdr:rowOff>426720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38</xdr:row>
          <xdr:rowOff>0</xdr:rowOff>
        </xdr:from>
        <xdr:to>
          <xdr:col>12</xdr:col>
          <xdr:colOff>594360</xdr:colOff>
          <xdr:row>39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22860</xdr:colOff>
          <xdr:row>49</xdr:row>
          <xdr:rowOff>144780</xdr:rowOff>
        </xdr:from>
        <xdr:to>
          <xdr:col>13</xdr:col>
          <xdr:colOff>76200</xdr:colOff>
          <xdr:row>51</xdr:row>
          <xdr:rowOff>60960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K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06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online.zakon.kz/Document/?link_id=1006844250" TargetMode="External"/><Relationship Id="rId3" Type="http://schemas.openxmlformats.org/officeDocument/2006/relationships/hyperlink" Target="http://online.zakon.kz/Document/?link_id=1006844250" TargetMode="External"/><Relationship Id="rId7" Type="http://schemas.openxmlformats.org/officeDocument/2006/relationships/hyperlink" Target="http://online.zakon.kz/Document/?link_id=1006844250" TargetMode="External"/><Relationship Id="rId2" Type="http://schemas.openxmlformats.org/officeDocument/2006/relationships/hyperlink" Target="http://online.zakon.kz/Document/?link_id=1006844250" TargetMode="External"/><Relationship Id="rId1" Type="http://schemas.openxmlformats.org/officeDocument/2006/relationships/hyperlink" Target="http://online.zakon.kz/Document/?link_id=1006083227" TargetMode="External"/><Relationship Id="rId6" Type="http://schemas.openxmlformats.org/officeDocument/2006/relationships/hyperlink" Target="http://online.zakon.kz/Document/?link_id=1006083227" TargetMode="External"/><Relationship Id="rId5" Type="http://schemas.openxmlformats.org/officeDocument/2006/relationships/hyperlink" Target="https://online.zakon.kz/Document/?doc_id=36148637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s://zakon.uchet.kz/rus/docs/K1700000120" TargetMode="External"/><Relationship Id="rId9" Type="http://schemas.openxmlformats.org/officeDocument/2006/relationships/hyperlink" Target="https://online.zakon.kz/Document/?doc_id=36148637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online.zakon.kz/Document/?link_id=1006083227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Q31"/>
  <sheetViews>
    <sheetView topLeftCell="A10" workbookViewId="0">
      <selection activeCell="D13" sqref="D13:Q13"/>
    </sheetView>
  </sheetViews>
  <sheetFormatPr defaultColWidth="9.109375" defaultRowHeight="13.2" x14ac:dyDescent="0.25"/>
  <cols>
    <col min="1" max="3" width="9.109375" style="48"/>
    <col min="4" max="4" width="19.6640625" style="48" customWidth="1"/>
    <col min="5" max="16384" width="9.109375" style="48"/>
  </cols>
  <sheetData>
    <row r="10" spans="3:17" ht="13.5" customHeight="1" x14ac:dyDescent="0.25"/>
    <row r="11" spans="3:17" ht="186" customHeight="1" x14ac:dyDescent="0.25">
      <c r="C11" s="61"/>
      <c r="D11" s="292" t="s">
        <v>496</v>
      </c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</row>
    <row r="12" spans="3:17" x14ac:dyDescent="0.25">
      <c r="D12" s="292"/>
      <c r="E12" s="292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292"/>
    </row>
    <row r="13" spans="3:17" x14ac:dyDescent="0.25">
      <c r="C13" s="62"/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</row>
    <row r="14" spans="3:17" x14ac:dyDescent="0.25">
      <c r="C14" s="62"/>
      <c r="D14" s="62"/>
      <c r="E14" s="62"/>
      <c r="F14" s="62"/>
      <c r="G14" s="62"/>
      <c r="H14" s="62"/>
      <c r="I14" s="62"/>
      <c r="J14" s="62"/>
    </row>
    <row r="15" spans="3:17" x14ac:dyDescent="0.25">
      <c r="D15" s="5" t="s">
        <v>161</v>
      </c>
    </row>
    <row r="16" spans="3:17" x14ac:dyDescent="0.25">
      <c r="D16" s="6" t="s">
        <v>162</v>
      </c>
      <c r="E16" s="7">
        <v>85000</v>
      </c>
      <c r="F16" s="8"/>
      <c r="G16" s="9" t="s">
        <v>163</v>
      </c>
    </row>
    <row r="17" spans="1:7" x14ac:dyDescent="0.25">
      <c r="D17" s="6" t="s">
        <v>321</v>
      </c>
      <c r="E17" s="7">
        <f>14*E26</f>
        <v>51688</v>
      </c>
      <c r="F17" s="8"/>
      <c r="G17" s="9"/>
    </row>
    <row r="18" spans="1:7" x14ac:dyDescent="0.25">
      <c r="D18" s="6" t="s">
        <v>164</v>
      </c>
      <c r="E18" s="7">
        <f>50*E16</f>
        <v>4250000</v>
      </c>
      <c r="F18" s="8"/>
      <c r="G18" s="9" t="s">
        <v>163</v>
      </c>
    </row>
    <row r="19" spans="1:7" x14ac:dyDescent="0.25">
      <c r="D19" s="6" t="s">
        <v>165</v>
      </c>
      <c r="E19" s="7">
        <f>E18*0.1</f>
        <v>425000</v>
      </c>
      <c r="F19" s="8"/>
      <c r="G19" s="9" t="s">
        <v>163</v>
      </c>
    </row>
    <row r="20" spans="1:7" x14ac:dyDescent="0.25">
      <c r="D20" s="6" t="s">
        <v>166</v>
      </c>
      <c r="E20" s="7">
        <f>7*E16</f>
        <v>595000</v>
      </c>
      <c r="F20" s="8"/>
      <c r="G20" s="9" t="s">
        <v>163</v>
      </c>
    </row>
    <row r="21" spans="1:7" x14ac:dyDescent="0.25">
      <c r="D21" s="6" t="s">
        <v>167</v>
      </c>
      <c r="E21" s="7">
        <f>E20*0.035</f>
        <v>20825.000000000004</v>
      </c>
      <c r="F21" s="8"/>
      <c r="G21" s="9" t="s">
        <v>163</v>
      </c>
    </row>
    <row r="22" spans="1:7" x14ac:dyDescent="0.25">
      <c r="D22" s="6" t="s">
        <v>199</v>
      </c>
      <c r="E22" s="7">
        <f>E16*10</f>
        <v>850000</v>
      </c>
      <c r="F22" s="8"/>
      <c r="G22" s="9"/>
    </row>
    <row r="23" spans="1:7" x14ac:dyDescent="0.25">
      <c r="D23" s="6" t="s">
        <v>319</v>
      </c>
      <c r="E23" s="7">
        <v>0</v>
      </c>
      <c r="F23" s="8"/>
      <c r="G23" s="9"/>
    </row>
    <row r="24" spans="1:7" x14ac:dyDescent="0.25">
      <c r="D24" s="6" t="s">
        <v>198</v>
      </c>
      <c r="E24" s="7">
        <f>E22*3%</f>
        <v>25500</v>
      </c>
      <c r="F24" s="8"/>
      <c r="G24" s="9"/>
    </row>
    <row r="25" spans="1:7" x14ac:dyDescent="0.25">
      <c r="D25" s="6" t="s">
        <v>320</v>
      </c>
      <c r="E25" s="7">
        <v>0</v>
      </c>
      <c r="F25" s="8"/>
      <c r="G25" s="9"/>
    </row>
    <row r="26" spans="1:7" ht="39.6" x14ac:dyDescent="0.25">
      <c r="D26" s="10" t="s">
        <v>168</v>
      </c>
      <c r="E26" s="11">
        <v>3692</v>
      </c>
      <c r="F26" s="12"/>
      <c r="G26" s="13" t="s">
        <v>163</v>
      </c>
    </row>
    <row r="27" spans="1:7" x14ac:dyDescent="0.25">
      <c r="A27" s="294" t="s">
        <v>169</v>
      </c>
      <c r="B27" s="294"/>
      <c r="C27" s="294"/>
      <c r="D27" s="294"/>
      <c r="E27" s="63"/>
    </row>
    <row r="28" spans="1:7" x14ac:dyDescent="0.25">
      <c r="A28" s="294" t="s">
        <v>170</v>
      </c>
      <c r="B28" s="294"/>
      <c r="C28" s="294"/>
      <c r="D28" s="294"/>
      <c r="E28" s="63"/>
    </row>
    <row r="29" spans="1:7" x14ac:dyDescent="0.25">
      <c r="A29" s="294" t="s">
        <v>171</v>
      </c>
      <c r="B29" s="294"/>
      <c r="C29" s="294"/>
      <c r="D29" s="294"/>
      <c r="E29" s="63"/>
    </row>
    <row r="31" spans="1:7" x14ac:dyDescent="0.25">
      <c r="A31" s="48" t="s">
        <v>235</v>
      </c>
    </row>
  </sheetData>
  <mergeCells count="6">
    <mergeCell ref="A29:D29"/>
    <mergeCell ref="D11:Q11"/>
    <mergeCell ref="D12:Q12"/>
    <mergeCell ref="D13:Q13"/>
    <mergeCell ref="A27:D27"/>
    <mergeCell ref="A28:D28"/>
  </mergeCells>
  <pageMargins left="0.7" right="0.7" top="0.75" bottom="0.75" header="0.3" footer="0.3"/>
  <pageSetup paperSize="9" scale="6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 sizeWithCells="1">
                  <from>
                    <xdr:col>0</xdr:col>
                    <xdr:colOff>83820</xdr:colOff>
                    <xdr:row>0</xdr:row>
                    <xdr:rowOff>152400</xdr:rowOff>
                  </from>
                  <to>
                    <xdr:col>1</xdr:col>
                    <xdr:colOff>152400</xdr:colOff>
                    <xdr:row>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86"/>
  <sheetViews>
    <sheetView topLeftCell="A7" workbookViewId="0">
      <pane xSplit="2" ySplit="7" topLeftCell="M38" activePane="bottomRight" state="frozen"/>
      <selection activeCell="A7" sqref="A7"/>
      <selection pane="topRight" activeCell="C7" sqref="C7"/>
      <selection pane="bottomLeft" activeCell="A14" sqref="A14"/>
      <selection pane="bottomRight" activeCell="S45" sqref="S45"/>
    </sheetView>
  </sheetViews>
  <sheetFormatPr defaultColWidth="9.109375" defaultRowHeight="13.2" x14ac:dyDescent="0.25"/>
  <cols>
    <col min="1" max="1" width="3" style="48" customWidth="1"/>
    <col min="2" max="2" width="21.33203125" style="48" customWidth="1"/>
    <col min="3" max="3" width="22" style="48" customWidth="1"/>
    <col min="4" max="4" width="13.6640625" style="48" customWidth="1"/>
    <col min="5" max="6" width="13.109375" style="48" customWidth="1"/>
    <col min="7" max="8" width="11.88671875" style="48" customWidth="1"/>
    <col min="9" max="9" width="14.6640625" style="48" customWidth="1"/>
    <col min="10" max="10" width="13.109375" style="48" customWidth="1"/>
    <col min="11" max="11" width="11.6640625" style="48" customWidth="1"/>
    <col min="12" max="15" width="15.5546875" style="48" customWidth="1"/>
    <col min="16" max="16" width="13.88671875" style="48" customWidth="1"/>
    <col min="17" max="20" width="12.6640625" style="48" customWidth="1"/>
    <col min="21" max="22" width="10.109375" style="48" bestFit="1" customWidth="1"/>
    <col min="23" max="24" width="9.109375" style="48"/>
    <col min="25" max="25" width="10.109375" style="48" bestFit="1" customWidth="1"/>
    <col min="26" max="16384" width="9.109375" style="48"/>
  </cols>
  <sheetData>
    <row r="1" spans="1:25" ht="19.5" hidden="1" customHeight="1" x14ac:dyDescent="0.25">
      <c r="A1" s="91" t="s">
        <v>81</v>
      </c>
      <c r="B1" s="92" t="s">
        <v>102</v>
      </c>
      <c r="C1" s="92"/>
      <c r="G1" s="305"/>
      <c r="H1" s="305"/>
      <c r="I1" s="305"/>
      <c r="J1" s="93"/>
      <c r="K1" s="93"/>
      <c r="L1" s="94"/>
      <c r="M1" s="94"/>
      <c r="N1" s="94"/>
      <c r="O1" s="94"/>
    </row>
    <row r="2" spans="1:25" hidden="1" x14ac:dyDescent="0.25">
      <c r="A2" s="91" t="s">
        <v>82</v>
      </c>
      <c r="B2" s="92" t="s">
        <v>103</v>
      </c>
      <c r="C2" s="15">
        <f>'200.00 200.01'!E10</f>
        <v>123123123</v>
      </c>
      <c r="G2" s="305"/>
      <c r="H2" s="305"/>
      <c r="I2" s="305"/>
      <c r="J2" s="94"/>
      <c r="K2" s="94"/>
      <c r="L2" s="94"/>
      <c r="M2" s="94"/>
      <c r="N2" s="94"/>
      <c r="O2" s="94"/>
    </row>
    <row r="3" spans="1:25" hidden="1" x14ac:dyDescent="0.25">
      <c r="A3" s="94"/>
      <c r="B3" s="15" t="s">
        <v>83</v>
      </c>
      <c r="C3" s="15"/>
      <c r="G3" s="95"/>
      <c r="H3" s="95"/>
      <c r="I3" s="95"/>
      <c r="J3" s="95"/>
      <c r="K3" s="95"/>
      <c r="L3" s="94"/>
      <c r="M3" s="94"/>
      <c r="N3" s="94"/>
      <c r="O3" s="94"/>
    </row>
    <row r="4" spans="1:25" hidden="1" x14ac:dyDescent="0.25">
      <c r="A4" s="37" t="s">
        <v>84</v>
      </c>
      <c r="B4" s="94" t="s">
        <v>104</v>
      </c>
      <c r="C4" s="94"/>
      <c r="D4" s="48" t="str">
        <f>'200.00 200.01'!J14</f>
        <v>ТОО AAAA</v>
      </c>
      <c r="G4" s="305"/>
      <c r="H4" s="305"/>
      <c r="I4" s="305"/>
      <c r="J4" s="94"/>
      <c r="K4" s="94"/>
      <c r="L4" s="94"/>
      <c r="M4" s="94"/>
      <c r="N4" s="94"/>
      <c r="O4" s="94"/>
    </row>
    <row r="5" spans="1:25" hidden="1" x14ac:dyDescent="0.25">
      <c r="A5" s="37" t="s">
        <v>85</v>
      </c>
      <c r="B5" s="94" t="s">
        <v>105</v>
      </c>
      <c r="C5" s="94"/>
      <c r="G5" s="94" t="s">
        <v>106</v>
      </c>
      <c r="H5" s="95">
        <f>'200.00 200.01'!J12</f>
        <v>1</v>
      </c>
      <c r="I5" s="94" t="s">
        <v>107</v>
      </c>
      <c r="J5" s="95">
        <f>'200.00 200.01'!M12</f>
        <v>2024</v>
      </c>
      <c r="K5" s="94"/>
      <c r="L5" s="94"/>
      <c r="M5" s="94"/>
      <c r="N5" s="94"/>
      <c r="O5" s="94"/>
    </row>
    <row r="6" spans="1:25" hidden="1" x14ac:dyDescent="0.25">
      <c r="A6" s="37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</row>
    <row r="7" spans="1:25" x14ac:dyDescent="0.25">
      <c r="A7" s="94"/>
      <c r="B7" s="5" t="s">
        <v>491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</row>
    <row r="8" spans="1:25" ht="13.8" thickBot="1" x14ac:dyDescent="0.3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 t="s">
        <v>87</v>
      </c>
      <c r="M8" s="94"/>
      <c r="N8" s="94"/>
      <c r="O8" s="94"/>
    </row>
    <row r="9" spans="1:25" ht="102.75" customHeight="1" thickBot="1" x14ac:dyDescent="0.3">
      <c r="A9" s="96" t="s">
        <v>88</v>
      </c>
      <c r="B9" s="58" t="s">
        <v>89</v>
      </c>
      <c r="C9" s="58" t="s">
        <v>90</v>
      </c>
      <c r="D9" s="58" t="s">
        <v>91</v>
      </c>
      <c r="E9" s="58" t="s">
        <v>191</v>
      </c>
      <c r="F9" s="58" t="s">
        <v>92</v>
      </c>
      <c r="G9" s="58" t="s">
        <v>93</v>
      </c>
      <c r="H9" s="58" t="s">
        <v>112</v>
      </c>
      <c r="I9" s="58" t="s">
        <v>497</v>
      </c>
      <c r="J9" s="58" t="s">
        <v>95</v>
      </c>
      <c r="K9" s="59" t="s">
        <v>462</v>
      </c>
      <c r="L9" s="202" t="s">
        <v>463</v>
      </c>
      <c r="M9" s="202" t="s">
        <v>238</v>
      </c>
      <c r="N9" s="202" t="s">
        <v>241</v>
      </c>
      <c r="O9" s="202" t="s">
        <v>292</v>
      </c>
      <c r="P9" s="275" t="s">
        <v>236</v>
      </c>
      <c r="Q9" s="275" t="s">
        <v>466</v>
      </c>
      <c r="R9" s="202" t="s">
        <v>467</v>
      </c>
      <c r="S9" s="202" t="s">
        <v>468</v>
      </c>
      <c r="T9" s="202" t="s">
        <v>469</v>
      </c>
      <c r="U9" s="202" t="s">
        <v>470</v>
      </c>
      <c r="V9" s="275" t="s">
        <v>471</v>
      </c>
      <c r="W9" s="275" t="s">
        <v>124</v>
      </c>
      <c r="X9" s="283" t="s">
        <v>457</v>
      </c>
      <c r="Y9" s="58" t="s">
        <v>488</v>
      </c>
    </row>
    <row r="10" spans="1:25" x14ac:dyDescent="0.25">
      <c r="A10" s="97"/>
      <c r="B10" s="98">
        <v>1</v>
      </c>
      <c r="C10" s="98">
        <v>2</v>
      </c>
      <c r="D10" s="98">
        <v>3</v>
      </c>
      <c r="E10" s="98">
        <v>4</v>
      </c>
      <c r="F10" s="99">
        <v>5</v>
      </c>
      <c r="G10" s="98">
        <v>6</v>
      </c>
      <c r="H10" s="99">
        <v>7</v>
      </c>
      <c r="I10" s="98">
        <v>8</v>
      </c>
      <c r="J10" s="99">
        <v>9</v>
      </c>
      <c r="K10" s="100">
        <v>10</v>
      </c>
      <c r="L10" s="131">
        <v>11</v>
      </c>
      <c r="M10" s="131">
        <v>12</v>
      </c>
      <c r="N10" s="131">
        <v>13</v>
      </c>
      <c r="O10" s="131">
        <v>14</v>
      </c>
      <c r="P10" s="131">
        <v>15</v>
      </c>
      <c r="Q10" s="131">
        <v>15</v>
      </c>
      <c r="R10" s="131">
        <v>16</v>
      </c>
      <c r="S10" s="131">
        <v>17</v>
      </c>
      <c r="T10" s="131">
        <v>18</v>
      </c>
      <c r="U10" s="131">
        <v>19</v>
      </c>
      <c r="V10" s="131">
        <v>20</v>
      </c>
      <c r="W10" s="131">
        <v>21</v>
      </c>
      <c r="X10" s="131">
        <v>22</v>
      </c>
      <c r="Y10" s="131">
        <v>23</v>
      </c>
    </row>
    <row r="11" spans="1:25" ht="39.6" x14ac:dyDescent="0.25">
      <c r="A11" s="101"/>
      <c r="B11" s="102"/>
      <c r="C11" s="102"/>
      <c r="D11" s="19"/>
      <c r="E11" s="19"/>
      <c r="F11" s="19"/>
      <c r="G11" s="103" t="s">
        <v>459</v>
      </c>
      <c r="H11" s="104" t="s">
        <v>494</v>
      </c>
      <c r="I11" s="104" t="s">
        <v>208</v>
      </c>
      <c r="J11" s="104" t="s">
        <v>460</v>
      </c>
      <c r="K11" s="105" t="s">
        <v>461</v>
      </c>
      <c r="L11" s="51"/>
      <c r="M11" s="103" t="s">
        <v>464</v>
      </c>
      <c r="N11" s="103" t="s">
        <v>410</v>
      </c>
      <c r="O11" s="103" t="s">
        <v>465</v>
      </c>
      <c r="P11" s="276">
        <f>21.5%*9.3%</f>
        <v>1.9995000000000002E-2</v>
      </c>
      <c r="Q11" s="276">
        <f>21.5%*14%</f>
        <v>3.0100000000000002E-2</v>
      </c>
      <c r="R11" s="51"/>
      <c r="S11" s="103" t="s">
        <v>472</v>
      </c>
      <c r="T11" s="103" t="s">
        <v>473</v>
      </c>
      <c r="U11" s="103" t="s">
        <v>474</v>
      </c>
      <c r="V11" s="276">
        <f>21.5%*14.9%</f>
        <v>3.2035000000000001E-2</v>
      </c>
      <c r="W11" s="276">
        <f>21.5%*8.4%</f>
        <v>1.806E-2</v>
      </c>
      <c r="X11" s="104" t="s">
        <v>495</v>
      </c>
      <c r="Y11" s="224"/>
    </row>
    <row r="12" spans="1:25" x14ac:dyDescent="0.25">
      <c r="A12" s="101"/>
      <c r="B12" s="102" t="s">
        <v>206</v>
      </c>
      <c r="C12" s="102"/>
      <c r="D12" s="19"/>
      <c r="E12" s="19"/>
      <c r="F12" s="19"/>
      <c r="G12" s="103"/>
      <c r="H12" s="277">
        <f>21.5%*46.5%</f>
        <v>9.9975000000000008E-2</v>
      </c>
      <c r="I12" s="104"/>
      <c r="J12" s="277">
        <f>21.5%*46.5%</f>
        <v>9.9975000000000008E-2</v>
      </c>
      <c r="K12" s="107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277">
        <f>21.5%*7%</f>
        <v>1.5050000000000001E-2</v>
      </c>
      <c r="Y12" s="51"/>
    </row>
    <row r="13" spans="1:25" x14ac:dyDescent="0.25">
      <c r="A13" s="101"/>
      <c r="B13" s="23" t="s">
        <v>108</v>
      </c>
      <c r="C13" s="102"/>
      <c r="D13" s="174">
        <f t="shared" ref="D13:P13" si="0">SUM(D14:D25)</f>
        <v>1440000</v>
      </c>
      <c r="E13" s="174"/>
      <c r="F13" s="174">
        <f t="shared" si="0"/>
        <v>0</v>
      </c>
      <c r="G13" s="174">
        <f t="shared" si="0"/>
        <v>1260000</v>
      </c>
      <c r="H13" s="174">
        <f t="shared" si="0"/>
        <v>125968.5</v>
      </c>
      <c r="I13" s="174"/>
      <c r="J13" s="174"/>
      <c r="K13" s="174">
        <f t="shared" si="0"/>
        <v>125968.5</v>
      </c>
      <c r="L13" s="174">
        <f t="shared" si="0"/>
        <v>0</v>
      </c>
      <c r="M13" s="174">
        <f t="shared" si="0"/>
        <v>1260000</v>
      </c>
      <c r="N13" s="174">
        <f t="shared" si="0"/>
        <v>10200000</v>
      </c>
      <c r="O13" s="174">
        <f t="shared" si="0"/>
        <v>1260000</v>
      </c>
      <c r="P13" s="325">
        <f t="shared" si="0"/>
        <v>25193.700000000004</v>
      </c>
      <c r="Q13" s="325">
        <f t="shared" ref="Q13:W13" si="1">SUM(Q14:Q25)</f>
        <v>37926</v>
      </c>
      <c r="R13" s="225">
        <f t="shared" si="1"/>
        <v>0</v>
      </c>
      <c r="S13" s="225">
        <f t="shared" si="1"/>
        <v>1260000</v>
      </c>
      <c r="T13" s="225">
        <f t="shared" si="1"/>
        <v>7140000</v>
      </c>
      <c r="U13" s="225">
        <f t="shared" si="1"/>
        <v>1260000</v>
      </c>
      <c r="V13" s="325">
        <f t="shared" si="1"/>
        <v>40364.100000000006</v>
      </c>
      <c r="W13" s="325">
        <f t="shared" si="1"/>
        <v>26006.399999999998</v>
      </c>
      <c r="X13" s="325">
        <f>SUM(X14:X25)</f>
        <v>18963</v>
      </c>
      <c r="Y13" s="325">
        <f>SUM(Y14:Y25)</f>
        <v>274421.7</v>
      </c>
    </row>
    <row r="14" spans="1:25" ht="14.4" customHeight="1" x14ac:dyDescent="0.25">
      <c r="A14" s="116">
        <v>1</v>
      </c>
      <c r="B14" s="117" t="s">
        <v>436</v>
      </c>
      <c r="C14" s="57"/>
      <c r="D14" s="214">
        <v>350000</v>
      </c>
      <c r="E14" s="110"/>
      <c r="F14" s="214"/>
      <c r="G14" s="60">
        <f>IF(E14=1,0,D14-F14)</f>
        <v>350000</v>
      </c>
      <c r="H14" s="109">
        <f>G14*$H$12</f>
        <v>34991.25</v>
      </c>
      <c r="I14" s="60">
        <f>50*Описание!E$16</f>
        <v>4250000</v>
      </c>
      <c r="J14" s="60">
        <f>I14*J$12</f>
        <v>424893.75000000006</v>
      </c>
      <c r="K14" s="60">
        <f>IF(J14&lt;H14,J14,H14)</f>
        <v>34991.25</v>
      </c>
      <c r="L14" s="214"/>
      <c r="M14" s="203">
        <f>IF(E14=1,0,D14-L14)</f>
        <v>350000</v>
      </c>
      <c r="N14" s="203">
        <f>10*Описание!E$16</f>
        <v>850000</v>
      </c>
      <c r="O14" s="203">
        <f>IF(M14&lt;N14,M14,N14)</f>
        <v>350000</v>
      </c>
      <c r="P14" s="203">
        <f>O14*P$11</f>
        <v>6998.2500000000009</v>
      </c>
      <c r="Q14" s="203">
        <f>O14*Q$11</f>
        <v>10535</v>
      </c>
      <c r="R14" s="214"/>
      <c r="S14" s="203">
        <f>IF(E14=1,0,D14-R14)</f>
        <v>350000</v>
      </c>
      <c r="T14" s="203">
        <f>Описание!$E$20</f>
        <v>595000</v>
      </c>
      <c r="U14" s="203">
        <f>MIN(S14,T14)</f>
        <v>350000</v>
      </c>
      <c r="V14" s="203">
        <f>U14*V$11</f>
        <v>11212.25</v>
      </c>
      <c r="W14" s="203">
        <f>D14*W$11</f>
        <v>6321</v>
      </c>
      <c r="X14" s="109">
        <f>G14*$X$12</f>
        <v>5267.5</v>
      </c>
      <c r="Y14" s="203">
        <f>K14+P14+Q14+V14+W14+X14</f>
        <v>75325.25</v>
      </c>
    </row>
    <row r="15" spans="1:25" ht="14.4" customHeight="1" x14ac:dyDescent="0.25">
      <c r="A15" s="116">
        <v>2</v>
      </c>
      <c r="B15" s="117" t="s">
        <v>437</v>
      </c>
      <c r="C15" s="57"/>
      <c r="D15" s="214">
        <v>300000</v>
      </c>
      <c r="E15" s="110"/>
      <c r="F15" s="214"/>
      <c r="G15" s="60">
        <f>IF(E15=1,0,D15-F15)</f>
        <v>300000</v>
      </c>
      <c r="H15" s="109">
        <f t="shared" ref="H15:H25" si="2">G15*$H$12</f>
        <v>29992.500000000004</v>
      </c>
      <c r="I15" s="60">
        <f>50*Описание!E$16</f>
        <v>4250000</v>
      </c>
      <c r="J15" s="60">
        <f>I15*J$12</f>
        <v>424893.75000000006</v>
      </c>
      <c r="K15" s="60">
        <f t="shared" ref="K15:K25" si="3">IF(J15&lt;H15,J15,H15)</f>
        <v>29992.500000000004</v>
      </c>
      <c r="L15" s="214"/>
      <c r="M15" s="203">
        <f>IF(E15=1,0,D15-L15)</f>
        <v>300000</v>
      </c>
      <c r="N15" s="203">
        <f>10*Описание!E$16</f>
        <v>850000</v>
      </c>
      <c r="O15" s="203">
        <f t="shared" ref="O15:O25" si="4">IF(M15&lt;N15,M15,N15)</f>
        <v>300000</v>
      </c>
      <c r="P15" s="203">
        <f t="shared" ref="P15:P25" si="5">O15*P$11</f>
        <v>5998.5000000000009</v>
      </c>
      <c r="Q15" s="203">
        <f t="shared" ref="Q15:Q25" si="6">O15*Q$11</f>
        <v>9030</v>
      </c>
      <c r="R15" s="214"/>
      <c r="S15" s="203">
        <f t="shared" ref="S15:S25" si="7">IF(E15=1,0,D15-R15)</f>
        <v>300000</v>
      </c>
      <c r="T15" s="203">
        <f>Описание!$E$20</f>
        <v>595000</v>
      </c>
      <c r="U15" s="203">
        <f t="shared" ref="U15:U25" si="8">MIN(S15,T15)</f>
        <v>300000</v>
      </c>
      <c r="V15" s="203">
        <f t="shared" ref="V15:V25" si="9">U15*V$11</f>
        <v>9610.5</v>
      </c>
      <c r="W15" s="203">
        <f t="shared" ref="W15:W25" si="10">D15*W$11</f>
        <v>5418</v>
      </c>
      <c r="X15" s="109">
        <f t="shared" ref="X15:X25" si="11">G15*$X$12</f>
        <v>4515</v>
      </c>
      <c r="Y15" s="203">
        <f t="shared" ref="Y15:Y25" si="12">K15+P15+Q15+V15+W15+X15</f>
        <v>64564.500000000007</v>
      </c>
    </row>
    <row r="16" spans="1:25" ht="14.4" customHeight="1" x14ac:dyDescent="0.25">
      <c r="A16" s="116">
        <v>3</v>
      </c>
      <c r="B16" s="117" t="s">
        <v>438</v>
      </c>
      <c r="C16" s="57"/>
      <c r="D16" s="214">
        <v>280000</v>
      </c>
      <c r="E16" s="110"/>
      <c r="F16" s="214"/>
      <c r="G16" s="60">
        <f t="shared" ref="G16:G25" si="13">IF(E16=1,0,D16-F16)</f>
        <v>280000</v>
      </c>
      <c r="H16" s="109">
        <f t="shared" si="2"/>
        <v>27993.000000000004</v>
      </c>
      <c r="I16" s="60">
        <f>50*Описание!E$16</f>
        <v>4250000</v>
      </c>
      <c r="J16" s="60">
        <f t="shared" ref="J16:J25" si="14">I16*J$12</f>
        <v>424893.75000000006</v>
      </c>
      <c r="K16" s="60">
        <f t="shared" si="3"/>
        <v>27993.000000000004</v>
      </c>
      <c r="L16" s="214"/>
      <c r="M16" s="203">
        <f>IF(E16=1,0,D16-L16)</f>
        <v>280000</v>
      </c>
      <c r="N16" s="203">
        <f>10*Описание!E$16</f>
        <v>850000</v>
      </c>
      <c r="O16" s="203">
        <f t="shared" si="4"/>
        <v>280000</v>
      </c>
      <c r="P16" s="203">
        <f t="shared" si="5"/>
        <v>5598.6</v>
      </c>
      <c r="Q16" s="203">
        <f t="shared" si="6"/>
        <v>8428</v>
      </c>
      <c r="R16" s="214"/>
      <c r="S16" s="203">
        <f t="shared" si="7"/>
        <v>280000</v>
      </c>
      <c r="T16" s="203">
        <f>Описание!$E$20</f>
        <v>595000</v>
      </c>
      <c r="U16" s="203">
        <f t="shared" si="8"/>
        <v>280000</v>
      </c>
      <c r="V16" s="203">
        <f t="shared" si="9"/>
        <v>8969.8000000000011</v>
      </c>
      <c r="W16" s="203">
        <f t="shared" si="10"/>
        <v>5056.8</v>
      </c>
      <c r="X16" s="109">
        <f t="shared" si="11"/>
        <v>4214</v>
      </c>
      <c r="Y16" s="203">
        <f t="shared" si="12"/>
        <v>60260.200000000012</v>
      </c>
    </row>
    <row r="17" spans="1:25" ht="14.4" customHeight="1" x14ac:dyDescent="0.25">
      <c r="A17" s="116">
        <v>4</v>
      </c>
      <c r="B17" s="117" t="s">
        <v>439</v>
      </c>
      <c r="C17" s="57"/>
      <c r="D17" s="214">
        <v>230000</v>
      </c>
      <c r="E17" s="110"/>
      <c r="F17" s="214"/>
      <c r="G17" s="60">
        <f t="shared" si="13"/>
        <v>230000</v>
      </c>
      <c r="H17" s="109">
        <f t="shared" si="2"/>
        <v>22994.250000000004</v>
      </c>
      <c r="I17" s="60">
        <f>50*Описание!E$16</f>
        <v>4250000</v>
      </c>
      <c r="J17" s="60">
        <f t="shared" si="14"/>
        <v>424893.75000000006</v>
      </c>
      <c r="K17" s="60">
        <f t="shared" si="3"/>
        <v>22994.250000000004</v>
      </c>
      <c r="L17" s="214"/>
      <c r="M17" s="203">
        <f>IF(E17=1,0,D17-L17)</f>
        <v>230000</v>
      </c>
      <c r="N17" s="203">
        <f>10*Описание!E$16</f>
        <v>850000</v>
      </c>
      <c r="O17" s="203">
        <f t="shared" si="4"/>
        <v>230000</v>
      </c>
      <c r="P17" s="203">
        <f t="shared" si="5"/>
        <v>4598.8500000000004</v>
      </c>
      <c r="Q17" s="203">
        <f t="shared" si="6"/>
        <v>6923</v>
      </c>
      <c r="R17" s="214"/>
      <c r="S17" s="203">
        <f t="shared" si="7"/>
        <v>230000</v>
      </c>
      <c r="T17" s="203">
        <f>Описание!$E$20</f>
        <v>595000</v>
      </c>
      <c r="U17" s="203">
        <f t="shared" si="8"/>
        <v>230000</v>
      </c>
      <c r="V17" s="203">
        <f t="shared" si="9"/>
        <v>7368.05</v>
      </c>
      <c r="W17" s="203">
        <f t="shared" si="10"/>
        <v>4153.8</v>
      </c>
      <c r="X17" s="109">
        <f t="shared" si="11"/>
        <v>3461.5</v>
      </c>
      <c r="Y17" s="203">
        <f t="shared" si="12"/>
        <v>49499.450000000012</v>
      </c>
    </row>
    <row r="18" spans="1:25" ht="14.4" customHeight="1" x14ac:dyDescent="0.25">
      <c r="A18" s="116">
        <v>5</v>
      </c>
      <c r="B18" s="117" t="s">
        <v>440</v>
      </c>
      <c r="C18" s="57"/>
      <c r="D18" s="214">
        <v>180000</v>
      </c>
      <c r="E18" s="110">
        <v>1</v>
      </c>
      <c r="F18" s="214"/>
      <c r="G18" s="60">
        <f>IF(E18=1,0,D18-F18)</f>
        <v>0</v>
      </c>
      <c r="H18" s="109">
        <f t="shared" si="2"/>
        <v>0</v>
      </c>
      <c r="I18" s="60">
        <f>50*Описание!E$16</f>
        <v>4250000</v>
      </c>
      <c r="J18" s="60">
        <f t="shared" si="14"/>
        <v>424893.75000000006</v>
      </c>
      <c r="K18" s="60">
        <f t="shared" si="3"/>
        <v>0</v>
      </c>
      <c r="L18" s="214"/>
      <c r="M18" s="203">
        <f>IF(E18=1,0,D18-L18)</f>
        <v>0</v>
      </c>
      <c r="N18" s="203">
        <f>10*Описание!E$16</f>
        <v>850000</v>
      </c>
      <c r="O18" s="203">
        <f t="shared" si="4"/>
        <v>0</v>
      </c>
      <c r="P18" s="203">
        <f t="shared" si="5"/>
        <v>0</v>
      </c>
      <c r="Q18" s="203">
        <f t="shared" si="6"/>
        <v>0</v>
      </c>
      <c r="R18" s="214"/>
      <c r="S18" s="203">
        <f t="shared" si="7"/>
        <v>0</v>
      </c>
      <c r="T18" s="203">
        <f>Описание!$E$20</f>
        <v>595000</v>
      </c>
      <c r="U18" s="203">
        <f t="shared" si="8"/>
        <v>0</v>
      </c>
      <c r="V18" s="203">
        <f t="shared" si="9"/>
        <v>0</v>
      </c>
      <c r="W18" s="203">
        <f t="shared" si="10"/>
        <v>3250.7999999999997</v>
      </c>
      <c r="X18" s="109">
        <f t="shared" si="11"/>
        <v>0</v>
      </c>
      <c r="Y18" s="203">
        <f t="shared" si="12"/>
        <v>3250.7999999999997</v>
      </c>
    </row>
    <row r="19" spans="1:25" ht="14.4" customHeight="1" x14ac:dyDescent="0.25">
      <c r="A19" s="116">
        <v>6</v>
      </c>
      <c r="B19" s="117" t="s">
        <v>441</v>
      </c>
      <c r="C19" s="57"/>
      <c r="D19" s="214">
        <v>100000</v>
      </c>
      <c r="E19" s="110"/>
      <c r="F19" s="214"/>
      <c r="G19" s="60">
        <f t="shared" si="13"/>
        <v>100000</v>
      </c>
      <c r="H19" s="109">
        <f t="shared" si="2"/>
        <v>9997.5</v>
      </c>
      <c r="I19" s="60">
        <f>50*Описание!E$16</f>
        <v>4250000</v>
      </c>
      <c r="J19" s="60">
        <f t="shared" si="14"/>
        <v>424893.75000000006</v>
      </c>
      <c r="K19" s="60">
        <f t="shared" si="3"/>
        <v>9997.5</v>
      </c>
      <c r="L19" s="214"/>
      <c r="M19" s="203">
        <f t="shared" ref="M19:M25" si="15">IF(E19=1,0,D19-L19)</f>
        <v>100000</v>
      </c>
      <c r="N19" s="203">
        <f>10*Описание!E$16</f>
        <v>850000</v>
      </c>
      <c r="O19" s="203">
        <f t="shared" si="4"/>
        <v>100000</v>
      </c>
      <c r="P19" s="203">
        <f t="shared" si="5"/>
        <v>1999.5000000000002</v>
      </c>
      <c r="Q19" s="203">
        <f t="shared" si="6"/>
        <v>3010</v>
      </c>
      <c r="R19" s="214"/>
      <c r="S19" s="203">
        <f t="shared" si="7"/>
        <v>100000</v>
      </c>
      <c r="T19" s="203">
        <f>Описание!$E$20</f>
        <v>595000</v>
      </c>
      <c r="U19" s="203">
        <f t="shared" si="8"/>
        <v>100000</v>
      </c>
      <c r="V19" s="203">
        <f t="shared" si="9"/>
        <v>3203.5</v>
      </c>
      <c r="W19" s="203">
        <f t="shared" si="10"/>
        <v>1806</v>
      </c>
      <c r="X19" s="109">
        <f t="shared" si="11"/>
        <v>1505</v>
      </c>
      <c r="Y19" s="203">
        <f t="shared" si="12"/>
        <v>21521.5</v>
      </c>
    </row>
    <row r="20" spans="1:25" ht="14.4" customHeight="1" x14ac:dyDescent="0.25">
      <c r="A20" s="116">
        <v>7</v>
      </c>
      <c r="B20" s="117"/>
      <c r="C20" s="57"/>
      <c r="D20" s="214"/>
      <c r="E20" s="110"/>
      <c r="F20" s="214"/>
      <c r="G20" s="60">
        <f>IF(E20=1,0,D20-F20)</f>
        <v>0</v>
      </c>
      <c r="H20" s="109">
        <f t="shared" si="2"/>
        <v>0</v>
      </c>
      <c r="I20" s="60">
        <f>50*Описание!E$16</f>
        <v>4250000</v>
      </c>
      <c r="J20" s="60">
        <f t="shared" si="14"/>
        <v>424893.75000000006</v>
      </c>
      <c r="K20" s="60">
        <f t="shared" si="3"/>
        <v>0</v>
      </c>
      <c r="L20" s="214"/>
      <c r="M20" s="203">
        <f t="shared" si="15"/>
        <v>0</v>
      </c>
      <c r="N20" s="203">
        <f>10*Описание!E$16</f>
        <v>850000</v>
      </c>
      <c r="O20" s="203">
        <f t="shared" si="4"/>
        <v>0</v>
      </c>
      <c r="P20" s="203">
        <f t="shared" si="5"/>
        <v>0</v>
      </c>
      <c r="Q20" s="203">
        <f t="shared" si="6"/>
        <v>0</v>
      </c>
      <c r="R20" s="214"/>
      <c r="S20" s="203">
        <f t="shared" si="7"/>
        <v>0</v>
      </c>
      <c r="T20" s="203">
        <f>Описание!$E$20</f>
        <v>595000</v>
      </c>
      <c r="U20" s="203">
        <f t="shared" si="8"/>
        <v>0</v>
      </c>
      <c r="V20" s="203">
        <f t="shared" si="9"/>
        <v>0</v>
      </c>
      <c r="W20" s="203">
        <f t="shared" si="10"/>
        <v>0</v>
      </c>
      <c r="X20" s="109">
        <f t="shared" si="11"/>
        <v>0</v>
      </c>
      <c r="Y20" s="203">
        <f t="shared" si="12"/>
        <v>0</v>
      </c>
    </row>
    <row r="21" spans="1:25" ht="14.4" customHeight="1" x14ac:dyDescent="0.25">
      <c r="A21" s="116">
        <v>8</v>
      </c>
      <c r="B21" s="117"/>
      <c r="C21" s="57"/>
      <c r="D21" s="214"/>
      <c r="E21" s="110"/>
      <c r="F21" s="214"/>
      <c r="G21" s="60">
        <f t="shared" si="13"/>
        <v>0</v>
      </c>
      <c r="H21" s="109">
        <f t="shared" si="2"/>
        <v>0</v>
      </c>
      <c r="I21" s="60">
        <f>50*Описание!E$16</f>
        <v>4250000</v>
      </c>
      <c r="J21" s="60">
        <f t="shared" si="14"/>
        <v>424893.75000000006</v>
      </c>
      <c r="K21" s="60">
        <f t="shared" si="3"/>
        <v>0</v>
      </c>
      <c r="L21" s="214"/>
      <c r="M21" s="203">
        <f t="shared" si="15"/>
        <v>0</v>
      </c>
      <c r="N21" s="203">
        <f>10*Описание!E$16</f>
        <v>850000</v>
      </c>
      <c r="O21" s="203">
        <f t="shared" si="4"/>
        <v>0</v>
      </c>
      <c r="P21" s="203">
        <f t="shared" si="5"/>
        <v>0</v>
      </c>
      <c r="Q21" s="203">
        <f t="shared" si="6"/>
        <v>0</v>
      </c>
      <c r="R21" s="214"/>
      <c r="S21" s="203">
        <f t="shared" si="7"/>
        <v>0</v>
      </c>
      <c r="T21" s="203">
        <f>Описание!$E$20</f>
        <v>595000</v>
      </c>
      <c r="U21" s="203">
        <f t="shared" si="8"/>
        <v>0</v>
      </c>
      <c r="V21" s="203">
        <f t="shared" si="9"/>
        <v>0</v>
      </c>
      <c r="W21" s="203">
        <f t="shared" si="10"/>
        <v>0</v>
      </c>
      <c r="X21" s="109">
        <f t="shared" si="11"/>
        <v>0</v>
      </c>
      <c r="Y21" s="203">
        <f t="shared" si="12"/>
        <v>0</v>
      </c>
    </row>
    <row r="22" spans="1:25" ht="14.4" customHeight="1" x14ac:dyDescent="0.25">
      <c r="A22" s="116">
        <v>9</v>
      </c>
      <c r="B22" s="117"/>
      <c r="C22" s="57"/>
      <c r="D22" s="214"/>
      <c r="E22" s="110"/>
      <c r="F22" s="214"/>
      <c r="G22" s="60">
        <f t="shared" si="13"/>
        <v>0</v>
      </c>
      <c r="H22" s="109">
        <f t="shared" si="2"/>
        <v>0</v>
      </c>
      <c r="I22" s="60">
        <f>50*Описание!E$16</f>
        <v>4250000</v>
      </c>
      <c r="J22" s="60">
        <f t="shared" si="14"/>
        <v>424893.75000000006</v>
      </c>
      <c r="K22" s="60">
        <f t="shared" si="3"/>
        <v>0</v>
      </c>
      <c r="L22" s="214"/>
      <c r="M22" s="203">
        <f t="shared" si="15"/>
        <v>0</v>
      </c>
      <c r="N22" s="203">
        <f>10*Описание!E$16</f>
        <v>850000</v>
      </c>
      <c r="O22" s="203">
        <f t="shared" si="4"/>
        <v>0</v>
      </c>
      <c r="P22" s="203">
        <f t="shared" si="5"/>
        <v>0</v>
      </c>
      <c r="Q22" s="203">
        <f t="shared" si="6"/>
        <v>0</v>
      </c>
      <c r="R22" s="214"/>
      <c r="S22" s="203">
        <f t="shared" si="7"/>
        <v>0</v>
      </c>
      <c r="T22" s="203">
        <f>Описание!$E$20</f>
        <v>595000</v>
      </c>
      <c r="U22" s="203">
        <f t="shared" si="8"/>
        <v>0</v>
      </c>
      <c r="V22" s="203">
        <f t="shared" si="9"/>
        <v>0</v>
      </c>
      <c r="W22" s="203">
        <f t="shared" si="10"/>
        <v>0</v>
      </c>
      <c r="X22" s="109">
        <f t="shared" si="11"/>
        <v>0</v>
      </c>
      <c r="Y22" s="203">
        <f t="shared" si="12"/>
        <v>0</v>
      </c>
    </row>
    <row r="23" spans="1:25" ht="14.4" customHeight="1" x14ac:dyDescent="0.25">
      <c r="A23" s="116">
        <v>10</v>
      </c>
      <c r="B23" s="117"/>
      <c r="C23" s="57"/>
      <c r="D23" s="214"/>
      <c r="E23" s="110"/>
      <c r="F23" s="214"/>
      <c r="G23" s="60">
        <f t="shared" si="13"/>
        <v>0</v>
      </c>
      <c r="H23" s="109">
        <f t="shared" si="2"/>
        <v>0</v>
      </c>
      <c r="I23" s="60">
        <f>50*Описание!E$16</f>
        <v>4250000</v>
      </c>
      <c r="J23" s="60">
        <f t="shared" si="14"/>
        <v>424893.75000000006</v>
      </c>
      <c r="K23" s="60">
        <f t="shared" si="3"/>
        <v>0</v>
      </c>
      <c r="L23" s="214"/>
      <c r="M23" s="203">
        <f t="shared" si="15"/>
        <v>0</v>
      </c>
      <c r="N23" s="203">
        <f>10*Описание!E$16</f>
        <v>850000</v>
      </c>
      <c r="O23" s="203">
        <f t="shared" si="4"/>
        <v>0</v>
      </c>
      <c r="P23" s="203">
        <f t="shared" si="5"/>
        <v>0</v>
      </c>
      <c r="Q23" s="203">
        <f t="shared" si="6"/>
        <v>0</v>
      </c>
      <c r="R23" s="214"/>
      <c r="S23" s="203">
        <f t="shared" si="7"/>
        <v>0</v>
      </c>
      <c r="T23" s="203">
        <f>Описание!$E$20</f>
        <v>595000</v>
      </c>
      <c r="U23" s="203">
        <f t="shared" si="8"/>
        <v>0</v>
      </c>
      <c r="V23" s="203">
        <f t="shared" si="9"/>
        <v>0</v>
      </c>
      <c r="W23" s="203">
        <f t="shared" si="10"/>
        <v>0</v>
      </c>
      <c r="X23" s="109">
        <f t="shared" si="11"/>
        <v>0</v>
      </c>
      <c r="Y23" s="203">
        <f t="shared" si="12"/>
        <v>0</v>
      </c>
    </row>
    <row r="24" spans="1:25" ht="14.4" customHeight="1" x14ac:dyDescent="0.25">
      <c r="A24" s="116">
        <v>11</v>
      </c>
      <c r="B24" s="117"/>
      <c r="C24" s="57"/>
      <c r="D24" s="214"/>
      <c r="E24" s="110"/>
      <c r="F24" s="214"/>
      <c r="G24" s="60">
        <f t="shared" si="13"/>
        <v>0</v>
      </c>
      <c r="H24" s="109">
        <f t="shared" si="2"/>
        <v>0</v>
      </c>
      <c r="I24" s="60">
        <f>50*Описание!E$16</f>
        <v>4250000</v>
      </c>
      <c r="J24" s="60">
        <f t="shared" si="14"/>
        <v>424893.75000000006</v>
      </c>
      <c r="K24" s="60">
        <f t="shared" si="3"/>
        <v>0</v>
      </c>
      <c r="L24" s="214"/>
      <c r="M24" s="203">
        <f t="shared" si="15"/>
        <v>0</v>
      </c>
      <c r="N24" s="203">
        <f>10*Описание!E$16</f>
        <v>850000</v>
      </c>
      <c r="O24" s="203">
        <f t="shared" si="4"/>
        <v>0</v>
      </c>
      <c r="P24" s="203">
        <f t="shared" si="5"/>
        <v>0</v>
      </c>
      <c r="Q24" s="203">
        <f t="shared" si="6"/>
        <v>0</v>
      </c>
      <c r="R24" s="214"/>
      <c r="S24" s="203">
        <f t="shared" si="7"/>
        <v>0</v>
      </c>
      <c r="T24" s="203">
        <f>Описание!$E$20</f>
        <v>595000</v>
      </c>
      <c r="U24" s="203">
        <f t="shared" si="8"/>
        <v>0</v>
      </c>
      <c r="V24" s="203">
        <f t="shared" si="9"/>
        <v>0</v>
      </c>
      <c r="W24" s="203">
        <f t="shared" si="10"/>
        <v>0</v>
      </c>
      <c r="X24" s="109">
        <f t="shared" si="11"/>
        <v>0</v>
      </c>
      <c r="Y24" s="203">
        <f t="shared" si="12"/>
        <v>0</v>
      </c>
    </row>
    <row r="25" spans="1:25" x14ac:dyDescent="0.25">
      <c r="A25" s="116">
        <v>12</v>
      </c>
      <c r="B25" s="57"/>
      <c r="C25" s="57"/>
      <c r="D25" s="214"/>
      <c r="E25" s="110"/>
      <c r="F25" s="214"/>
      <c r="G25" s="60">
        <f t="shared" si="13"/>
        <v>0</v>
      </c>
      <c r="H25" s="109">
        <f t="shared" si="2"/>
        <v>0</v>
      </c>
      <c r="I25" s="60">
        <f>50*Описание!E$16</f>
        <v>4250000</v>
      </c>
      <c r="J25" s="60">
        <f t="shared" si="14"/>
        <v>424893.75000000006</v>
      </c>
      <c r="K25" s="60">
        <f t="shared" si="3"/>
        <v>0</v>
      </c>
      <c r="L25" s="214"/>
      <c r="M25" s="203">
        <f t="shared" si="15"/>
        <v>0</v>
      </c>
      <c r="N25" s="203">
        <f>10*Описание!E$16</f>
        <v>850000</v>
      </c>
      <c r="O25" s="203">
        <f t="shared" si="4"/>
        <v>0</v>
      </c>
      <c r="P25" s="203">
        <f t="shared" si="5"/>
        <v>0</v>
      </c>
      <c r="Q25" s="203">
        <f t="shared" si="6"/>
        <v>0</v>
      </c>
      <c r="R25" s="214"/>
      <c r="S25" s="203">
        <f t="shared" si="7"/>
        <v>0</v>
      </c>
      <c r="T25" s="203">
        <f>Описание!$E$20</f>
        <v>595000</v>
      </c>
      <c r="U25" s="203">
        <f t="shared" si="8"/>
        <v>0</v>
      </c>
      <c r="V25" s="203">
        <f t="shared" si="9"/>
        <v>0</v>
      </c>
      <c r="W25" s="203">
        <f t="shared" si="10"/>
        <v>0</v>
      </c>
      <c r="X25" s="109">
        <f t="shared" si="11"/>
        <v>0</v>
      </c>
      <c r="Y25" s="203">
        <f t="shared" si="12"/>
        <v>0</v>
      </c>
    </row>
    <row r="26" spans="1:25" x14ac:dyDescent="0.25">
      <c r="A26" s="118"/>
      <c r="B26" s="23" t="s">
        <v>109</v>
      </c>
      <c r="C26" s="57"/>
      <c r="D26" s="174">
        <f t="shared" ref="D26:P26" si="16">SUM(D27:D38)</f>
        <v>1440000</v>
      </c>
      <c r="E26" s="174"/>
      <c r="F26" s="174">
        <f t="shared" si="16"/>
        <v>0</v>
      </c>
      <c r="G26" s="174">
        <f t="shared" si="16"/>
        <v>1260000</v>
      </c>
      <c r="H26" s="174">
        <f t="shared" si="16"/>
        <v>125968.5</v>
      </c>
      <c r="I26" s="174"/>
      <c r="J26" s="174"/>
      <c r="K26" s="174">
        <f t="shared" si="16"/>
        <v>125968.5</v>
      </c>
      <c r="L26" s="174">
        <f t="shared" si="16"/>
        <v>0</v>
      </c>
      <c r="M26" s="174">
        <f t="shared" si="16"/>
        <v>1260000</v>
      </c>
      <c r="N26" s="174">
        <f t="shared" si="16"/>
        <v>10200000</v>
      </c>
      <c r="O26" s="174">
        <f t="shared" si="16"/>
        <v>1260000</v>
      </c>
      <c r="P26" s="225">
        <f t="shared" si="16"/>
        <v>25193.700000000004</v>
      </c>
      <c r="Q26" s="225">
        <f t="shared" ref="Q26:W26" si="17">SUM(Q27:Q38)</f>
        <v>37926</v>
      </c>
      <c r="R26" s="225">
        <f t="shared" si="17"/>
        <v>0</v>
      </c>
      <c r="S26" s="225">
        <f t="shared" si="17"/>
        <v>1260000</v>
      </c>
      <c r="T26" s="225">
        <f t="shared" si="17"/>
        <v>7140000</v>
      </c>
      <c r="U26" s="225">
        <f t="shared" si="17"/>
        <v>1260000</v>
      </c>
      <c r="V26" s="225">
        <f t="shared" si="17"/>
        <v>40364.100000000006</v>
      </c>
      <c r="W26" s="225">
        <f t="shared" si="17"/>
        <v>26006.399999999998</v>
      </c>
      <c r="X26" s="225">
        <f>SUM(X27:X38)</f>
        <v>18963</v>
      </c>
      <c r="Y26" s="325">
        <f>SUM(Y27:Y38)</f>
        <v>274421.7</v>
      </c>
    </row>
    <row r="27" spans="1:25" ht="13.95" customHeight="1" x14ac:dyDescent="0.25">
      <c r="A27" s="118">
        <v>1</v>
      </c>
      <c r="B27" s="117" t="s">
        <v>436</v>
      </c>
      <c r="C27" s="57"/>
      <c r="D27" s="214">
        <v>350000</v>
      </c>
      <c r="E27" s="281"/>
      <c r="F27" s="177"/>
      <c r="G27" s="60">
        <f>IF(E27=1,0,D27-F27)</f>
        <v>350000</v>
      </c>
      <c r="H27" s="60">
        <f>G27*$H$12</f>
        <v>34991.25</v>
      </c>
      <c r="I27" s="60">
        <f>50*Описание!E$16</f>
        <v>4250000</v>
      </c>
      <c r="J27" s="60">
        <f>I27*J$12</f>
        <v>424893.75000000006</v>
      </c>
      <c r="K27" s="60">
        <f>IF(J27&lt;H27,J27,H27)</f>
        <v>34991.25</v>
      </c>
      <c r="L27" s="214"/>
      <c r="M27" s="203">
        <f t="shared" ref="M27:M38" si="18">IF(E27=1,0,D27-L27)</f>
        <v>350000</v>
      </c>
      <c r="N27" s="203">
        <f>10*Описание!E$16</f>
        <v>850000</v>
      </c>
      <c r="O27" s="203">
        <f>IF(M27&lt;N27,M27,N27)</f>
        <v>350000</v>
      </c>
      <c r="P27" s="203">
        <f t="shared" ref="P27:P38" si="19">O27*P$11</f>
        <v>6998.2500000000009</v>
      </c>
      <c r="Q27" s="203">
        <f t="shared" ref="Q27:Q38" si="20">O27*Q$11</f>
        <v>10535</v>
      </c>
      <c r="R27" s="214"/>
      <c r="S27" s="203">
        <f t="shared" ref="S27:S38" si="21">IF(E27=1,0,D27-R27)</f>
        <v>350000</v>
      </c>
      <c r="T27" s="203">
        <f>Описание!$E$20</f>
        <v>595000</v>
      </c>
      <c r="U27" s="203">
        <f t="shared" ref="U27:U38" si="22">MIN(S27,T27)</f>
        <v>350000</v>
      </c>
      <c r="V27" s="203">
        <f t="shared" ref="V27:V38" si="23">U27*V$11</f>
        <v>11212.25</v>
      </c>
      <c r="W27" s="203">
        <f t="shared" ref="W27:W38" si="24">D27*W$11</f>
        <v>6321</v>
      </c>
      <c r="X27" s="109">
        <f>G27*$X$12</f>
        <v>5267.5</v>
      </c>
      <c r="Y27" s="203">
        <f t="shared" ref="Y27:Y38" si="25">K27+P27+Q27+V27+W27+X27</f>
        <v>75325.25</v>
      </c>
    </row>
    <row r="28" spans="1:25" ht="14.4" customHeight="1" x14ac:dyDescent="0.25">
      <c r="A28" s="118">
        <v>2</v>
      </c>
      <c r="B28" s="117" t="s">
        <v>437</v>
      </c>
      <c r="C28" s="57"/>
      <c r="D28" s="214">
        <v>300000</v>
      </c>
      <c r="E28" s="110"/>
      <c r="F28" s="214"/>
      <c r="G28" s="60">
        <f>IF(E28=1,0,D28-F28)</f>
        <v>300000</v>
      </c>
      <c r="H28" s="60">
        <f t="shared" ref="H28:H38" si="26">G28*$H$12</f>
        <v>29992.500000000004</v>
      </c>
      <c r="I28" s="60">
        <f>50*Описание!E$16</f>
        <v>4250000</v>
      </c>
      <c r="J28" s="60">
        <f t="shared" ref="J28:J38" si="27">I28*J$12</f>
        <v>424893.75000000006</v>
      </c>
      <c r="K28" s="60">
        <f t="shared" ref="K28:K52" si="28">IF(J28&lt;H28,J28,H28)</f>
        <v>29992.500000000004</v>
      </c>
      <c r="L28" s="214"/>
      <c r="M28" s="203">
        <f t="shared" si="18"/>
        <v>300000</v>
      </c>
      <c r="N28" s="203">
        <f>10*Описание!E$16</f>
        <v>850000</v>
      </c>
      <c r="O28" s="203">
        <f t="shared" ref="O28:O38" si="29">IF(M28&lt;N28,M28,N28)</f>
        <v>300000</v>
      </c>
      <c r="P28" s="203">
        <f t="shared" si="19"/>
        <v>5998.5000000000009</v>
      </c>
      <c r="Q28" s="203">
        <f t="shared" si="20"/>
        <v>9030</v>
      </c>
      <c r="R28" s="214"/>
      <c r="S28" s="203">
        <f t="shared" si="21"/>
        <v>300000</v>
      </c>
      <c r="T28" s="203">
        <f>Описание!$E$20</f>
        <v>595000</v>
      </c>
      <c r="U28" s="203">
        <f t="shared" si="22"/>
        <v>300000</v>
      </c>
      <c r="V28" s="203">
        <f t="shared" si="23"/>
        <v>9610.5</v>
      </c>
      <c r="W28" s="203">
        <f t="shared" si="24"/>
        <v>5418</v>
      </c>
      <c r="X28" s="109">
        <f t="shared" ref="X28:X38" si="30">G28*$X$12</f>
        <v>4515</v>
      </c>
      <c r="Y28" s="203">
        <f t="shared" si="25"/>
        <v>64564.500000000007</v>
      </c>
    </row>
    <row r="29" spans="1:25" ht="14.4" customHeight="1" x14ac:dyDescent="0.25">
      <c r="A29" s="118">
        <v>3</v>
      </c>
      <c r="B29" s="117" t="s">
        <v>438</v>
      </c>
      <c r="C29" s="57"/>
      <c r="D29" s="214">
        <v>280000</v>
      </c>
      <c r="E29" s="280"/>
      <c r="F29" s="214"/>
      <c r="G29" s="60">
        <f t="shared" ref="G29:G38" si="31">IF(E29=1,0,D29-F29)</f>
        <v>280000</v>
      </c>
      <c r="H29" s="60">
        <f t="shared" si="26"/>
        <v>27993.000000000004</v>
      </c>
      <c r="I29" s="60">
        <f>50*Описание!E$16</f>
        <v>4250000</v>
      </c>
      <c r="J29" s="60">
        <f t="shared" si="27"/>
        <v>424893.75000000006</v>
      </c>
      <c r="K29" s="60">
        <f>IF(J29&lt;H29,J29,H29)</f>
        <v>27993.000000000004</v>
      </c>
      <c r="L29" s="214"/>
      <c r="M29" s="203">
        <f t="shared" si="18"/>
        <v>280000</v>
      </c>
      <c r="N29" s="203">
        <f>10*Описание!E$16</f>
        <v>850000</v>
      </c>
      <c r="O29" s="203">
        <f t="shared" si="29"/>
        <v>280000</v>
      </c>
      <c r="P29" s="203">
        <f t="shared" si="19"/>
        <v>5598.6</v>
      </c>
      <c r="Q29" s="203">
        <f t="shared" si="20"/>
        <v>8428</v>
      </c>
      <c r="R29" s="214"/>
      <c r="S29" s="203">
        <f t="shared" si="21"/>
        <v>280000</v>
      </c>
      <c r="T29" s="203">
        <f>Описание!$E$20</f>
        <v>595000</v>
      </c>
      <c r="U29" s="203">
        <f t="shared" si="22"/>
        <v>280000</v>
      </c>
      <c r="V29" s="203">
        <f t="shared" si="23"/>
        <v>8969.8000000000011</v>
      </c>
      <c r="W29" s="203">
        <f t="shared" si="24"/>
        <v>5056.8</v>
      </c>
      <c r="X29" s="109">
        <f t="shared" si="30"/>
        <v>4214</v>
      </c>
      <c r="Y29" s="203">
        <f t="shared" si="25"/>
        <v>60260.200000000012</v>
      </c>
    </row>
    <row r="30" spans="1:25" ht="14.4" customHeight="1" x14ac:dyDescent="0.25">
      <c r="A30" s="118">
        <v>4</v>
      </c>
      <c r="B30" s="117" t="s">
        <v>439</v>
      </c>
      <c r="C30" s="57"/>
      <c r="D30" s="214">
        <v>230000</v>
      </c>
      <c r="E30" s="280"/>
      <c r="F30" s="214"/>
      <c r="G30" s="60">
        <f t="shared" si="31"/>
        <v>230000</v>
      </c>
      <c r="H30" s="60">
        <f t="shared" si="26"/>
        <v>22994.250000000004</v>
      </c>
      <c r="I30" s="60">
        <f>50*Описание!E$16</f>
        <v>4250000</v>
      </c>
      <c r="J30" s="60">
        <f t="shared" si="27"/>
        <v>424893.75000000006</v>
      </c>
      <c r="K30" s="60">
        <f t="shared" si="28"/>
        <v>22994.250000000004</v>
      </c>
      <c r="L30" s="214"/>
      <c r="M30" s="203">
        <f t="shared" si="18"/>
        <v>230000</v>
      </c>
      <c r="N30" s="203">
        <f>10*Описание!E$16</f>
        <v>850000</v>
      </c>
      <c r="O30" s="203">
        <f>IF(M30&lt;N30,M30,N30)</f>
        <v>230000</v>
      </c>
      <c r="P30" s="203">
        <f t="shared" si="19"/>
        <v>4598.8500000000004</v>
      </c>
      <c r="Q30" s="203">
        <f t="shared" si="20"/>
        <v>6923</v>
      </c>
      <c r="R30" s="214"/>
      <c r="S30" s="203">
        <f t="shared" si="21"/>
        <v>230000</v>
      </c>
      <c r="T30" s="203">
        <f>Описание!$E$20</f>
        <v>595000</v>
      </c>
      <c r="U30" s="203">
        <f t="shared" si="22"/>
        <v>230000</v>
      </c>
      <c r="V30" s="203">
        <f t="shared" si="23"/>
        <v>7368.05</v>
      </c>
      <c r="W30" s="203">
        <f t="shared" si="24"/>
        <v>4153.8</v>
      </c>
      <c r="X30" s="109">
        <f t="shared" si="30"/>
        <v>3461.5</v>
      </c>
      <c r="Y30" s="203">
        <f t="shared" si="25"/>
        <v>49499.450000000012</v>
      </c>
    </row>
    <row r="31" spans="1:25" ht="14.4" customHeight="1" x14ac:dyDescent="0.25">
      <c r="A31" s="118">
        <v>5</v>
      </c>
      <c r="B31" s="117" t="s">
        <v>440</v>
      </c>
      <c r="C31" s="57"/>
      <c r="D31" s="214">
        <v>180000</v>
      </c>
      <c r="E31" s="280">
        <v>1</v>
      </c>
      <c r="F31" s="214"/>
      <c r="G31" s="60">
        <f t="shared" si="31"/>
        <v>0</v>
      </c>
      <c r="H31" s="60">
        <f t="shared" si="26"/>
        <v>0</v>
      </c>
      <c r="I31" s="60">
        <f>50*Описание!E$16</f>
        <v>4250000</v>
      </c>
      <c r="J31" s="60">
        <f t="shared" si="27"/>
        <v>424893.75000000006</v>
      </c>
      <c r="K31" s="60">
        <f t="shared" si="28"/>
        <v>0</v>
      </c>
      <c r="L31" s="214"/>
      <c r="M31" s="203">
        <f t="shared" si="18"/>
        <v>0</v>
      </c>
      <c r="N31" s="203">
        <f>10*Описание!E$16</f>
        <v>850000</v>
      </c>
      <c r="O31" s="203">
        <f t="shared" si="29"/>
        <v>0</v>
      </c>
      <c r="P31" s="203">
        <f t="shared" si="19"/>
        <v>0</v>
      </c>
      <c r="Q31" s="203">
        <f t="shared" si="20"/>
        <v>0</v>
      </c>
      <c r="R31" s="214"/>
      <c r="S31" s="203">
        <f t="shared" si="21"/>
        <v>0</v>
      </c>
      <c r="T31" s="203">
        <f>Описание!$E$20</f>
        <v>595000</v>
      </c>
      <c r="U31" s="203">
        <f t="shared" si="22"/>
        <v>0</v>
      </c>
      <c r="V31" s="203">
        <f t="shared" si="23"/>
        <v>0</v>
      </c>
      <c r="W31" s="203">
        <f t="shared" si="24"/>
        <v>3250.7999999999997</v>
      </c>
      <c r="X31" s="109">
        <f t="shared" si="30"/>
        <v>0</v>
      </c>
      <c r="Y31" s="203">
        <f t="shared" si="25"/>
        <v>3250.7999999999997</v>
      </c>
    </row>
    <row r="32" spans="1:25" ht="14.4" customHeight="1" x14ac:dyDescent="0.25">
      <c r="A32" s="118">
        <v>6</v>
      </c>
      <c r="B32" s="117" t="s">
        <v>441</v>
      </c>
      <c r="C32" s="57"/>
      <c r="D32" s="214">
        <v>100000</v>
      </c>
      <c r="E32" s="280"/>
      <c r="F32" s="214"/>
      <c r="G32" s="60">
        <f t="shared" si="31"/>
        <v>100000</v>
      </c>
      <c r="H32" s="60">
        <f>G32*$H$12</f>
        <v>9997.5</v>
      </c>
      <c r="I32" s="60">
        <f>50*Описание!E$16</f>
        <v>4250000</v>
      </c>
      <c r="J32" s="60">
        <f t="shared" si="27"/>
        <v>424893.75000000006</v>
      </c>
      <c r="K32" s="60">
        <f t="shared" si="28"/>
        <v>9997.5</v>
      </c>
      <c r="L32" s="214"/>
      <c r="M32" s="203">
        <f t="shared" si="18"/>
        <v>100000</v>
      </c>
      <c r="N32" s="203">
        <f>10*Описание!E$16</f>
        <v>850000</v>
      </c>
      <c r="O32" s="203">
        <f t="shared" si="29"/>
        <v>100000</v>
      </c>
      <c r="P32" s="203">
        <f t="shared" si="19"/>
        <v>1999.5000000000002</v>
      </c>
      <c r="Q32" s="203">
        <f t="shared" si="20"/>
        <v>3010</v>
      </c>
      <c r="R32" s="214"/>
      <c r="S32" s="203">
        <f t="shared" si="21"/>
        <v>100000</v>
      </c>
      <c r="T32" s="203">
        <f>Описание!$E$20</f>
        <v>595000</v>
      </c>
      <c r="U32" s="203">
        <f t="shared" si="22"/>
        <v>100000</v>
      </c>
      <c r="V32" s="203">
        <f t="shared" si="23"/>
        <v>3203.5</v>
      </c>
      <c r="W32" s="203">
        <f t="shared" si="24"/>
        <v>1806</v>
      </c>
      <c r="X32" s="109">
        <f t="shared" si="30"/>
        <v>1505</v>
      </c>
      <c r="Y32" s="203">
        <f t="shared" si="25"/>
        <v>21521.5</v>
      </c>
    </row>
    <row r="33" spans="1:25" ht="14.4" customHeight="1" x14ac:dyDescent="0.25">
      <c r="A33" s="118">
        <v>7</v>
      </c>
      <c r="B33" s="117"/>
      <c r="C33" s="57"/>
      <c r="D33" s="179"/>
      <c r="E33" s="280"/>
      <c r="F33" s="214"/>
      <c r="G33" s="60">
        <f t="shared" si="31"/>
        <v>0</v>
      </c>
      <c r="H33" s="60">
        <f t="shared" si="26"/>
        <v>0</v>
      </c>
      <c r="I33" s="60">
        <f>50*Описание!E$16</f>
        <v>4250000</v>
      </c>
      <c r="J33" s="60">
        <f t="shared" si="27"/>
        <v>424893.75000000006</v>
      </c>
      <c r="K33" s="60">
        <f t="shared" si="28"/>
        <v>0</v>
      </c>
      <c r="L33" s="214"/>
      <c r="M33" s="203">
        <f t="shared" si="18"/>
        <v>0</v>
      </c>
      <c r="N33" s="203">
        <f>10*Описание!E$16</f>
        <v>850000</v>
      </c>
      <c r="O33" s="203">
        <f t="shared" si="29"/>
        <v>0</v>
      </c>
      <c r="P33" s="203">
        <f t="shared" si="19"/>
        <v>0</v>
      </c>
      <c r="Q33" s="203">
        <f t="shared" si="20"/>
        <v>0</v>
      </c>
      <c r="R33" s="214"/>
      <c r="S33" s="203">
        <f t="shared" si="21"/>
        <v>0</v>
      </c>
      <c r="T33" s="203">
        <f>Описание!$E$20</f>
        <v>595000</v>
      </c>
      <c r="U33" s="203">
        <f t="shared" si="22"/>
        <v>0</v>
      </c>
      <c r="V33" s="203">
        <f t="shared" si="23"/>
        <v>0</v>
      </c>
      <c r="W33" s="203">
        <f t="shared" si="24"/>
        <v>0</v>
      </c>
      <c r="X33" s="109">
        <f t="shared" si="30"/>
        <v>0</v>
      </c>
      <c r="Y33" s="203">
        <f t="shared" si="25"/>
        <v>0</v>
      </c>
    </row>
    <row r="34" spans="1:25" ht="14.4" customHeight="1" x14ac:dyDescent="0.25">
      <c r="A34" s="118">
        <v>8</v>
      </c>
      <c r="B34" s="117"/>
      <c r="C34" s="57"/>
      <c r="D34" s="179"/>
      <c r="E34" s="280"/>
      <c r="F34" s="214"/>
      <c r="G34" s="60">
        <f t="shared" si="31"/>
        <v>0</v>
      </c>
      <c r="H34" s="60">
        <f t="shared" si="26"/>
        <v>0</v>
      </c>
      <c r="I34" s="60">
        <f>50*Описание!E$16</f>
        <v>4250000</v>
      </c>
      <c r="J34" s="60">
        <f t="shared" si="27"/>
        <v>424893.75000000006</v>
      </c>
      <c r="K34" s="60">
        <f t="shared" si="28"/>
        <v>0</v>
      </c>
      <c r="L34" s="214"/>
      <c r="M34" s="203">
        <f t="shared" si="18"/>
        <v>0</v>
      </c>
      <c r="N34" s="203">
        <f>10*Описание!E$16</f>
        <v>850000</v>
      </c>
      <c r="O34" s="203">
        <f t="shared" si="29"/>
        <v>0</v>
      </c>
      <c r="P34" s="203">
        <f t="shared" si="19"/>
        <v>0</v>
      </c>
      <c r="Q34" s="203">
        <f t="shared" si="20"/>
        <v>0</v>
      </c>
      <c r="R34" s="214"/>
      <c r="S34" s="203">
        <f t="shared" si="21"/>
        <v>0</v>
      </c>
      <c r="T34" s="203">
        <f>Описание!$E$20</f>
        <v>595000</v>
      </c>
      <c r="U34" s="203">
        <f t="shared" si="22"/>
        <v>0</v>
      </c>
      <c r="V34" s="203">
        <f t="shared" si="23"/>
        <v>0</v>
      </c>
      <c r="W34" s="203">
        <f t="shared" si="24"/>
        <v>0</v>
      </c>
      <c r="X34" s="109">
        <f t="shared" si="30"/>
        <v>0</v>
      </c>
      <c r="Y34" s="203">
        <f t="shared" si="25"/>
        <v>0</v>
      </c>
    </row>
    <row r="35" spans="1:25" ht="14.4" customHeight="1" x14ac:dyDescent="0.25">
      <c r="A35" s="118">
        <v>9</v>
      </c>
      <c r="B35" s="117"/>
      <c r="C35" s="57"/>
      <c r="D35" s="179"/>
      <c r="E35" s="280"/>
      <c r="F35" s="214"/>
      <c r="G35" s="60">
        <f t="shared" si="31"/>
        <v>0</v>
      </c>
      <c r="H35" s="60">
        <f t="shared" si="26"/>
        <v>0</v>
      </c>
      <c r="I35" s="60">
        <f>50*Описание!E$16</f>
        <v>4250000</v>
      </c>
      <c r="J35" s="60">
        <f t="shared" si="27"/>
        <v>424893.75000000006</v>
      </c>
      <c r="K35" s="60">
        <f t="shared" si="28"/>
        <v>0</v>
      </c>
      <c r="L35" s="214"/>
      <c r="M35" s="203">
        <f t="shared" si="18"/>
        <v>0</v>
      </c>
      <c r="N35" s="203">
        <f>10*Описание!E$16</f>
        <v>850000</v>
      </c>
      <c r="O35" s="203">
        <f t="shared" si="29"/>
        <v>0</v>
      </c>
      <c r="P35" s="203">
        <f t="shared" si="19"/>
        <v>0</v>
      </c>
      <c r="Q35" s="203">
        <f t="shared" si="20"/>
        <v>0</v>
      </c>
      <c r="R35" s="214"/>
      <c r="S35" s="203">
        <f t="shared" si="21"/>
        <v>0</v>
      </c>
      <c r="T35" s="203">
        <f>Описание!$E$20</f>
        <v>595000</v>
      </c>
      <c r="U35" s="203">
        <f t="shared" si="22"/>
        <v>0</v>
      </c>
      <c r="V35" s="203">
        <f t="shared" si="23"/>
        <v>0</v>
      </c>
      <c r="W35" s="203">
        <f t="shared" si="24"/>
        <v>0</v>
      </c>
      <c r="X35" s="109">
        <f t="shared" si="30"/>
        <v>0</v>
      </c>
      <c r="Y35" s="203">
        <f t="shared" si="25"/>
        <v>0</v>
      </c>
    </row>
    <row r="36" spans="1:25" ht="14.4" customHeight="1" x14ac:dyDescent="0.25">
      <c r="A36" s="118">
        <v>10</v>
      </c>
      <c r="B36" s="117"/>
      <c r="C36" s="57"/>
      <c r="D36" s="179"/>
      <c r="E36" s="280"/>
      <c r="F36" s="180"/>
      <c r="G36" s="60">
        <f t="shared" si="31"/>
        <v>0</v>
      </c>
      <c r="H36" s="60">
        <f t="shared" si="26"/>
        <v>0</v>
      </c>
      <c r="I36" s="60">
        <f>50*Описание!E$16</f>
        <v>4250000</v>
      </c>
      <c r="J36" s="60">
        <f t="shared" si="27"/>
        <v>424893.75000000006</v>
      </c>
      <c r="K36" s="60">
        <f t="shared" si="28"/>
        <v>0</v>
      </c>
      <c r="L36" s="214"/>
      <c r="M36" s="203">
        <f t="shared" si="18"/>
        <v>0</v>
      </c>
      <c r="N36" s="203">
        <f>10*Описание!E$16</f>
        <v>850000</v>
      </c>
      <c r="O36" s="203">
        <f t="shared" si="29"/>
        <v>0</v>
      </c>
      <c r="P36" s="203">
        <f t="shared" si="19"/>
        <v>0</v>
      </c>
      <c r="Q36" s="203">
        <f t="shared" si="20"/>
        <v>0</v>
      </c>
      <c r="R36" s="214"/>
      <c r="S36" s="203">
        <f t="shared" si="21"/>
        <v>0</v>
      </c>
      <c r="T36" s="203">
        <f>Описание!$E$20</f>
        <v>595000</v>
      </c>
      <c r="U36" s="203">
        <f t="shared" si="22"/>
        <v>0</v>
      </c>
      <c r="V36" s="203">
        <f t="shared" si="23"/>
        <v>0</v>
      </c>
      <c r="W36" s="203">
        <f t="shared" si="24"/>
        <v>0</v>
      </c>
      <c r="X36" s="109">
        <f t="shared" si="30"/>
        <v>0</v>
      </c>
      <c r="Y36" s="203">
        <f t="shared" si="25"/>
        <v>0</v>
      </c>
    </row>
    <row r="37" spans="1:25" ht="14.4" customHeight="1" x14ac:dyDescent="0.25">
      <c r="A37" s="118">
        <v>11</v>
      </c>
      <c r="B37" s="117"/>
      <c r="C37" s="57"/>
      <c r="D37" s="179"/>
      <c r="E37" s="280"/>
      <c r="F37" s="181"/>
      <c r="G37" s="60">
        <f t="shared" si="31"/>
        <v>0</v>
      </c>
      <c r="H37" s="60">
        <f t="shared" si="26"/>
        <v>0</v>
      </c>
      <c r="I37" s="60">
        <f>50*Описание!E$16</f>
        <v>4250000</v>
      </c>
      <c r="J37" s="60">
        <f t="shared" si="27"/>
        <v>424893.75000000006</v>
      </c>
      <c r="K37" s="60">
        <f t="shared" si="28"/>
        <v>0</v>
      </c>
      <c r="L37" s="214"/>
      <c r="M37" s="203">
        <f t="shared" si="18"/>
        <v>0</v>
      </c>
      <c r="N37" s="203">
        <f>10*Описание!E$16</f>
        <v>850000</v>
      </c>
      <c r="O37" s="203">
        <f t="shared" si="29"/>
        <v>0</v>
      </c>
      <c r="P37" s="203">
        <f t="shared" si="19"/>
        <v>0</v>
      </c>
      <c r="Q37" s="203">
        <f t="shared" si="20"/>
        <v>0</v>
      </c>
      <c r="R37" s="214"/>
      <c r="S37" s="203">
        <f t="shared" si="21"/>
        <v>0</v>
      </c>
      <c r="T37" s="203">
        <f>Описание!$E$20</f>
        <v>595000</v>
      </c>
      <c r="U37" s="203">
        <f t="shared" si="22"/>
        <v>0</v>
      </c>
      <c r="V37" s="203">
        <f t="shared" si="23"/>
        <v>0</v>
      </c>
      <c r="W37" s="203">
        <f t="shared" si="24"/>
        <v>0</v>
      </c>
      <c r="X37" s="109">
        <f t="shared" si="30"/>
        <v>0</v>
      </c>
      <c r="Y37" s="203">
        <f t="shared" si="25"/>
        <v>0</v>
      </c>
    </row>
    <row r="38" spans="1:25" x14ac:dyDescent="0.25">
      <c r="A38" s="118">
        <v>12</v>
      </c>
      <c r="B38" s="117"/>
      <c r="C38" s="57"/>
      <c r="D38" s="179"/>
      <c r="E38" s="280"/>
      <c r="F38" s="180"/>
      <c r="G38" s="60">
        <f t="shared" si="31"/>
        <v>0</v>
      </c>
      <c r="H38" s="60">
        <f t="shared" si="26"/>
        <v>0</v>
      </c>
      <c r="I38" s="60">
        <f>50*Описание!E$16</f>
        <v>4250000</v>
      </c>
      <c r="J38" s="60">
        <f t="shared" si="27"/>
        <v>424893.75000000006</v>
      </c>
      <c r="K38" s="60">
        <f t="shared" si="28"/>
        <v>0</v>
      </c>
      <c r="L38" s="214"/>
      <c r="M38" s="203">
        <f t="shared" si="18"/>
        <v>0</v>
      </c>
      <c r="N38" s="203">
        <f>10*Описание!E$16</f>
        <v>850000</v>
      </c>
      <c r="O38" s="203">
        <f t="shared" si="29"/>
        <v>0</v>
      </c>
      <c r="P38" s="203">
        <f t="shared" si="19"/>
        <v>0</v>
      </c>
      <c r="Q38" s="203">
        <f t="shared" si="20"/>
        <v>0</v>
      </c>
      <c r="R38" s="214"/>
      <c r="S38" s="203">
        <f t="shared" si="21"/>
        <v>0</v>
      </c>
      <c r="T38" s="203">
        <f>Описание!$E$20</f>
        <v>595000</v>
      </c>
      <c r="U38" s="203">
        <f t="shared" si="22"/>
        <v>0</v>
      </c>
      <c r="V38" s="203">
        <f t="shared" si="23"/>
        <v>0</v>
      </c>
      <c r="W38" s="203">
        <f t="shared" si="24"/>
        <v>0</v>
      </c>
      <c r="X38" s="109">
        <f t="shared" si="30"/>
        <v>0</v>
      </c>
      <c r="Y38" s="203">
        <f t="shared" si="25"/>
        <v>0</v>
      </c>
    </row>
    <row r="39" spans="1:25" x14ac:dyDescent="0.25">
      <c r="A39" s="118"/>
      <c r="B39" s="23" t="s">
        <v>110</v>
      </c>
      <c r="C39" s="57"/>
      <c r="D39" s="174">
        <f t="shared" ref="D39:P39" si="32">SUM(D40:D52)</f>
        <v>1440000</v>
      </c>
      <c r="E39" s="174"/>
      <c r="F39" s="174">
        <f t="shared" si="32"/>
        <v>0</v>
      </c>
      <c r="G39" s="174">
        <f t="shared" si="32"/>
        <v>1260000</v>
      </c>
      <c r="H39" s="174">
        <f t="shared" si="32"/>
        <v>125968.5</v>
      </c>
      <c r="I39" s="174"/>
      <c r="J39" s="174"/>
      <c r="K39" s="174">
        <f t="shared" si="32"/>
        <v>125968.5</v>
      </c>
      <c r="L39" s="174">
        <f t="shared" si="32"/>
        <v>0</v>
      </c>
      <c r="M39" s="174">
        <f>SUM(M40:M52)</f>
        <v>1260000</v>
      </c>
      <c r="N39" s="174">
        <f>SUM(N40:N52)</f>
        <v>11050000</v>
      </c>
      <c r="O39" s="174">
        <f>SUM(O40:O52)</f>
        <v>1260000</v>
      </c>
      <c r="P39" s="325">
        <f t="shared" si="32"/>
        <v>25193.700000000004</v>
      </c>
      <c r="Q39" s="325">
        <f t="shared" ref="Q39:W39" si="33">SUM(Q40:Q52)</f>
        <v>37926</v>
      </c>
      <c r="R39" s="225">
        <f t="shared" si="33"/>
        <v>0</v>
      </c>
      <c r="S39" s="225">
        <f t="shared" si="33"/>
        <v>1260000</v>
      </c>
      <c r="T39" s="225">
        <f t="shared" si="33"/>
        <v>7735000</v>
      </c>
      <c r="U39" s="225">
        <f t="shared" si="33"/>
        <v>1260000</v>
      </c>
      <c r="V39" s="325">
        <f t="shared" si="33"/>
        <v>40364.100000000006</v>
      </c>
      <c r="W39" s="325">
        <f t="shared" si="33"/>
        <v>26006.399999999998</v>
      </c>
      <c r="X39" s="325">
        <f>SUM(X40:X52)</f>
        <v>18963</v>
      </c>
      <c r="Y39" s="325">
        <f>SUM(Y40:Y52)</f>
        <v>274421.7</v>
      </c>
    </row>
    <row r="40" spans="1:25" x14ac:dyDescent="0.25">
      <c r="A40" s="116">
        <v>1</v>
      </c>
      <c r="B40" s="117" t="s">
        <v>436</v>
      </c>
      <c r="C40" s="57"/>
      <c r="D40" s="214">
        <v>350000</v>
      </c>
      <c r="E40" s="281"/>
      <c r="F40" s="177"/>
      <c r="G40" s="60">
        <f>IF(E40=1,0,D40-F40)</f>
        <v>350000</v>
      </c>
      <c r="H40" s="60">
        <f>G40*$H$12</f>
        <v>34991.25</v>
      </c>
      <c r="I40" s="60">
        <f>50*Описание!E$16</f>
        <v>4250000</v>
      </c>
      <c r="J40" s="60">
        <f>I40*J$12</f>
        <v>424893.75000000006</v>
      </c>
      <c r="K40" s="60">
        <f t="shared" si="28"/>
        <v>34991.25</v>
      </c>
      <c r="L40" s="214"/>
      <c r="M40" s="203">
        <f t="shared" ref="M40:M52" si="34">IF(E40=1,0,D40-L40)</f>
        <v>350000</v>
      </c>
      <c r="N40" s="203">
        <f>10*Описание!E$16</f>
        <v>850000</v>
      </c>
      <c r="O40" s="203">
        <f>IF(M40&lt;N40,M40,N40)</f>
        <v>350000</v>
      </c>
      <c r="P40" s="203">
        <f t="shared" ref="P40:P52" si="35">O40*P$11</f>
        <v>6998.2500000000009</v>
      </c>
      <c r="Q40" s="203">
        <f t="shared" ref="Q40:Q52" si="36">O40*Q$11</f>
        <v>10535</v>
      </c>
      <c r="R40" s="214"/>
      <c r="S40" s="203">
        <f t="shared" ref="S40:S52" si="37">IF(E40=1,0,D40-R40)</f>
        <v>350000</v>
      </c>
      <c r="T40" s="203">
        <f>Описание!$E$20</f>
        <v>595000</v>
      </c>
      <c r="U40" s="203">
        <f t="shared" ref="U40:U52" si="38">MIN(S40,T40)</f>
        <v>350000</v>
      </c>
      <c r="V40" s="203">
        <f t="shared" ref="V40:V52" si="39">U40*V$11</f>
        <v>11212.25</v>
      </c>
      <c r="W40" s="203">
        <f t="shared" ref="W40:W52" si="40">D40*W$11</f>
        <v>6321</v>
      </c>
      <c r="X40" s="109">
        <f>G40*$X$12</f>
        <v>5267.5</v>
      </c>
      <c r="Y40" s="203">
        <f t="shared" ref="Y40:Y52" si="41">K40+P40+Q40+V40+W40+X40</f>
        <v>75325.25</v>
      </c>
    </row>
    <row r="41" spans="1:25" x14ac:dyDescent="0.25">
      <c r="A41" s="118">
        <v>2</v>
      </c>
      <c r="B41" s="117" t="s">
        <v>437</v>
      </c>
      <c r="C41" s="57"/>
      <c r="D41" s="214">
        <v>300000</v>
      </c>
      <c r="E41" s="110"/>
      <c r="F41" s="214"/>
      <c r="G41" s="60">
        <f>IF(E41=1,0,D41-F41)</f>
        <v>300000</v>
      </c>
      <c r="H41" s="60">
        <f t="shared" ref="H41:H52" si="42">G41*$H$12</f>
        <v>29992.500000000004</v>
      </c>
      <c r="I41" s="60">
        <f>50*Описание!E$16</f>
        <v>4250000</v>
      </c>
      <c r="J41" s="60">
        <f t="shared" ref="J41:J52" si="43">I41*J$12</f>
        <v>424893.75000000006</v>
      </c>
      <c r="K41" s="60">
        <f>IF(J41&lt;H41,J41,H41)</f>
        <v>29992.500000000004</v>
      </c>
      <c r="L41" s="214"/>
      <c r="M41" s="203">
        <f t="shared" si="34"/>
        <v>300000</v>
      </c>
      <c r="N41" s="203">
        <f>10*Описание!E$16</f>
        <v>850000</v>
      </c>
      <c r="O41" s="203">
        <f t="shared" ref="O41:O51" si="44">IF(M41&lt;N41,M41,N41)</f>
        <v>300000</v>
      </c>
      <c r="P41" s="203">
        <f t="shared" si="35"/>
        <v>5998.5000000000009</v>
      </c>
      <c r="Q41" s="203">
        <f t="shared" si="36"/>
        <v>9030</v>
      </c>
      <c r="R41" s="214"/>
      <c r="S41" s="203">
        <f t="shared" si="37"/>
        <v>300000</v>
      </c>
      <c r="T41" s="203">
        <f>Описание!$E$20</f>
        <v>595000</v>
      </c>
      <c r="U41" s="203">
        <f t="shared" si="38"/>
        <v>300000</v>
      </c>
      <c r="V41" s="203">
        <f t="shared" si="39"/>
        <v>9610.5</v>
      </c>
      <c r="W41" s="203">
        <f t="shared" si="40"/>
        <v>5418</v>
      </c>
      <c r="X41" s="109">
        <f t="shared" ref="X41:X51" si="45">G41*$X$12</f>
        <v>4515</v>
      </c>
      <c r="Y41" s="203">
        <f t="shared" si="41"/>
        <v>64564.500000000007</v>
      </c>
    </row>
    <row r="42" spans="1:25" x14ac:dyDescent="0.25">
      <c r="A42" s="116">
        <v>3</v>
      </c>
      <c r="B42" s="117" t="s">
        <v>438</v>
      </c>
      <c r="C42" s="57"/>
      <c r="D42" s="214">
        <v>280000</v>
      </c>
      <c r="E42" s="280"/>
      <c r="F42" s="214"/>
      <c r="G42" s="60">
        <f t="shared" ref="G42:G52" si="46">IF(E42=1,0,D42-F42)</f>
        <v>280000</v>
      </c>
      <c r="H42" s="60">
        <f t="shared" si="42"/>
        <v>27993.000000000004</v>
      </c>
      <c r="I42" s="60">
        <f>50*Описание!E$16</f>
        <v>4250000</v>
      </c>
      <c r="J42" s="60">
        <f t="shared" si="43"/>
        <v>424893.75000000006</v>
      </c>
      <c r="K42" s="60">
        <f t="shared" si="28"/>
        <v>27993.000000000004</v>
      </c>
      <c r="L42" s="214"/>
      <c r="M42" s="203">
        <f t="shared" si="34"/>
        <v>280000</v>
      </c>
      <c r="N42" s="203">
        <f>10*Описание!E$16</f>
        <v>850000</v>
      </c>
      <c r="O42" s="203">
        <f>IF(M42&lt;N42,M42,N42)</f>
        <v>280000</v>
      </c>
      <c r="P42" s="203">
        <f t="shared" si="35"/>
        <v>5598.6</v>
      </c>
      <c r="Q42" s="203">
        <f t="shared" si="36"/>
        <v>8428</v>
      </c>
      <c r="R42" s="214"/>
      <c r="S42" s="203">
        <f t="shared" si="37"/>
        <v>280000</v>
      </c>
      <c r="T42" s="203">
        <f>Описание!$E$20</f>
        <v>595000</v>
      </c>
      <c r="U42" s="203">
        <f t="shared" si="38"/>
        <v>280000</v>
      </c>
      <c r="V42" s="203">
        <f t="shared" si="39"/>
        <v>8969.8000000000011</v>
      </c>
      <c r="W42" s="203">
        <f t="shared" si="40"/>
        <v>5056.8</v>
      </c>
      <c r="X42" s="109">
        <f t="shared" si="45"/>
        <v>4214</v>
      </c>
      <c r="Y42" s="203">
        <f t="shared" si="41"/>
        <v>60260.200000000012</v>
      </c>
    </row>
    <row r="43" spans="1:25" x14ac:dyDescent="0.25">
      <c r="A43" s="116">
        <v>4</v>
      </c>
      <c r="B43" s="117" t="s">
        <v>439</v>
      </c>
      <c r="C43" s="57"/>
      <c r="D43" s="214">
        <v>230000</v>
      </c>
      <c r="E43" s="280"/>
      <c r="F43" s="214"/>
      <c r="G43" s="60">
        <f t="shared" si="46"/>
        <v>230000</v>
      </c>
      <c r="H43" s="60">
        <f t="shared" si="42"/>
        <v>22994.250000000004</v>
      </c>
      <c r="I43" s="60">
        <f>50*Описание!E$16</f>
        <v>4250000</v>
      </c>
      <c r="J43" s="60">
        <f t="shared" si="43"/>
        <v>424893.75000000006</v>
      </c>
      <c r="K43" s="60">
        <f t="shared" si="28"/>
        <v>22994.250000000004</v>
      </c>
      <c r="L43" s="214"/>
      <c r="M43" s="203">
        <f t="shared" si="34"/>
        <v>230000</v>
      </c>
      <c r="N43" s="203">
        <f>10*Описание!E$16</f>
        <v>850000</v>
      </c>
      <c r="O43" s="203">
        <f t="shared" si="44"/>
        <v>230000</v>
      </c>
      <c r="P43" s="203">
        <f t="shared" si="35"/>
        <v>4598.8500000000004</v>
      </c>
      <c r="Q43" s="203">
        <f t="shared" si="36"/>
        <v>6923</v>
      </c>
      <c r="R43" s="214"/>
      <c r="S43" s="203">
        <f t="shared" si="37"/>
        <v>230000</v>
      </c>
      <c r="T43" s="203">
        <f>Описание!$E$20</f>
        <v>595000</v>
      </c>
      <c r="U43" s="203">
        <f t="shared" si="38"/>
        <v>230000</v>
      </c>
      <c r="V43" s="203">
        <f t="shared" si="39"/>
        <v>7368.05</v>
      </c>
      <c r="W43" s="203">
        <f t="shared" si="40"/>
        <v>4153.8</v>
      </c>
      <c r="X43" s="109">
        <f t="shared" si="45"/>
        <v>3461.5</v>
      </c>
      <c r="Y43" s="203">
        <f t="shared" si="41"/>
        <v>49499.450000000012</v>
      </c>
    </row>
    <row r="44" spans="1:25" x14ac:dyDescent="0.25">
      <c r="A44" s="116">
        <v>5</v>
      </c>
      <c r="B44" s="117" t="s">
        <v>440</v>
      </c>
      <c r="C44" s="57"/>
      <c r="D44" s="214">
        <v>180000</v>
      </c>
      <c r="E44" s="280">
        <v>1</v>
      </c>
      <c r="F44" s="214"/>
      <c r="G44" s="60">
        <f t="shared" si="46"/>
        <v>0</v>
      </c>
      <c r="H44" s="60">
        <f t="shared" si="42"/>
        <v>0</v>
      </c>
      <c r="I44" s="60">
        <f>50*Описание!E$16</f>
        <v>4250000</v>
      </c>
      <c r="J44" s="60">
        <f t="shared" si="43"/>
        <v>424893.75000000006</v>
      </c>
      <c r="K44" s="60">
        <f t="shared" si="28"/>
        <v>0</v>
      </c>
      <c r="L44" s="214"/>
      <c r="M44" s="203">
        <f t="shared" si="34"/>
        <v>0</v>
      </c>
      <c r="N44" s="203">
        <f>10*Описание!E$16</f>
        <v>850000</v>
      </c>
      <c r="O44" s="203">
        <f t="shared" si="44"/>
        <v>0</v>
      </c>
      <c r="P44" s="203">
        <f t="shared" si="35"/>
        <v>0</v>
      </c>
      <c r="Q44" s="203">
        <f t="shared" si="36"/>
        <v>0</v>
      </c>
      <c r="R44" s="214"/>
      <c r="S44" s="203">
        <f t="shared" si="37"/>
        <v>0</v>
      </c>
      <c r="T44" s="203">
        <f>Описание!$E$20</f>
        <v>595000</v>
      </c>
      <c r="U44" s="203">
        <f t="shared" si="38"/>
        <v>0</v>
      </c>
      <c r="V44" s="203">
        <f t="shared" si="39"/>
        <v>0</v>
      </c>
      <c r="W44" s="203">
        <f t="shared" si="40"/>
        <v>3250.7999999999997</v>
      </c>
      <c r="X44" s="109">
        <f t="shared" si="45"/>
        <v>0</v>
      </c>
      <c r="Y44" s="203">
        <f t="shared" si="41"/>
        <v>3250.7999999999997</v>
      </c>
    </row>
    <row r="45" spans="1:25" x14ac:dyDescent="0.25">
      <c r="A45" s="116">
        <v>6</v>
      </c>
      <c r="B45" s="117" t="s">
        <v>441</v>
      </c>
      <c r="C45" s="57"/>
      <c r="D45" s="214">
        <v>100000</v>
      </c>
      <c r="E45" s="280"/>
      <c r="F45" s="214"/>
      <c r="G45" s="60">
        <f t="shared" si="46"/>
        <v>100000</v>
      </c>
      <c r="H45" s="60">
        <f t="shared" si="42"/>
        <v>9997.5</v>
      </c>
      <c r="I45" s="60">
        <f>50*Описание!E$16</f>
        <v>4250000</v>
      </c>
      <c r="J45" s="60">
        <f t="shared" si="43"/>
        <v>424893.75000000006</v>
      </c>
      <c r="K45" s="60">
        <f t="shared" si="28"/>
        <v>9997.5</v>
      </c>
      <c r="L45" s="214"/>
      <c r="M45" s="203">
        <f t="shared" si="34"/>
        <v>100000</v>
      </c>
      <c r="N45" s="203">
        <f>10*Описание!E$16</f>
        <v>850000</v>
      </c>
      <c r="O45" s="203">
        <f t="shared" si="44"/>
        <v>100000</v>
      </c>
      <c r="P45" s="203">
        <f t="shared" si="35"/>
        <v>1999.5000000000002</v>
      </c>
      <c r="Q45" s="203">
        <f t="shared" si="36"/>
        <v>3010</v>
      </c>
      <c r="R45" s="214"/>
      <c r="S45" s="203">
        <f t="shared" si="37"/>
        <v>100000</v>
      </c>
      <c r="T45" s="203">
        <f>Описание!$E$20</f>
        <v>595000</v>
      </c>
      <c r="U45" s="203">
        <f t="shared" si="38"/>
        <v>100000</v>
      </c>
      <c r="V45" s="203">
        <f t="shared" si="39"/>
        <v>3203.5</v>
      </c>
      <c r="W45" s="203">
        <f t="shared" si="40"/>
        <v>1806</v>
      </c>
      <c r="X45" s="109">
        <f t="shared" si="45"/>
        <v>1505</v>
      </c>
      <c r="Y45" s="203">
        <f t="shared" si="41"/>
        <v>21521.5</v>
      </c>
    </row>
    <row r="46" spans="1:25" x14ac:dyDescent="0.25">
      <c r="A46" s="118">
        <v>7</v>
      </c>
      <c r="B46" s="117"/>
      <c r="C46" s="57"/>
      <c r="D46" s="182"/>
      <c r="E46" s="280"/>
      <c r="F46" s="214"/>
      <c r="G46" s="60">
        <f t="shared" si="46"/>
        <v>0</v>
      </c>
      <c r="H46" s="60">
        <f t="shared" si="42"/>
        <v>0</v>
      </c>
      <c r="I46" s="60">
        <f>50*Описание!E$16</f>
        <v>4250000</v>
      </c>
      <c r="J46" s="60">
        <f t="shared" si="43"/>
        <v>424893.75000000006</v>
      </c>
      <c r="K46" s="60">
        <f t="shared" si="28"/>
        <v>0</v>
      </c>
      <c r="L46" s="214"/>
      <c r="M46" s="203">
        <f t="shared" si="34"/>
        <v>0</v>
      </c>
      <c r="N46" s="203">
        <f>10*Описание!E$16</f>
        <v>850000</v>
      </c>
      <c r="O46" s="203">
        <f t="shared" si="44"/>
        <v>0</v>
      </c>
      <c r="P46" s="203">
        <f t="shared" si="35"/>
        <v>0</v>
      </c>
      <c r="Q46" s="203">
        <f t="shared" si="36"/>
        <v>0</v>
      </c>
      <c r="R46" s="214"/>
      <c r="S46" s="203">
        <f t="shared" si="37"/>
        <v>0</v>
      </c>
      <c r="T46" s="203">
        <f>Описание!$E$20</f>
        <v>595000</v>
      </c>
      <c r="U46" s="203">
        <f t="shared" si="38"/>
        <v>0</v>
      </c>
      <c r="V46" s="203">
        <f t="shared" si="39"/>
        <v>0</v>
      </c>
      <c r="W46" s="203">
        <f t="shared" si="40"/>
        <v>0</v>
      </c>
      <c r="X46" s="109">
        <f t="shared" si="45"/>
        <v>0</v>
      </c>
      <c r="Y46" s="203">
        <f t="shared" si="41"/>
        <v>0</v>
      </c>
    </row>
    <row r="47" spans="1:25" x14ac:dyDescent="0.25">
      <c r="A47" s="116">
        <v>8</v>
      </c>
      <c r="B47" s="117"/>
      <c r="C47" s="57"/>
      <c r="D47" s="179"/>
      <c r="E47" s="280"/>
      <c r="F47" s="214"/>
      <c r="G47" s="60">
        <f t="shared" si="46"/>
        <v>0</v>
      </c>
      <c r="H47" s="60">
        <f t="shared" si="42"/>
        <v>0</v>
      </c>
      <c r="I47" s="60">
        <f>50*Описание!E$16</f>
        <v>4250000</v>
      </c>
      <c r="J47" s="60">
        <f t="shared" si="43"/>
        <v>424893.75000000006</v>
      </c>
      <c r="K47" s="60">
        <f t="shared" si="28"/>
        <v>0</v>
      </c>
      <c r="L47" s="214"/>
      <c r="M47" s="203">
        <f t="shared" si="34"/>
        <v>0</v>
      </c>
      <c r="N47" s="203">
        <f>10*Описание!E$16</f>
        <v>850000</v>
      </c>
      <c r="O47" s="203">
        <f t="shared" si="44"/>
        <v>0</v>
      </c>
      <c r="P47" s="203">
        <f t="shared" si="35"/>
        <v>0</v>
      </c>
      <c r="Q47" s="203">
        <f t="shared" si="36"/>
        <v>0</v>
      </c>
      <c r="R47" s="214"/>
      <c r="S47" s="203">
        <f t="shared" si="37"/>
        <v>0</v>
      </c>
      <c r="T47" s="203">
        <f>Описание!$E$20</f>
        <v>595000</v>
      </c>
      <c r="U47" s="203">
        <f t="shared" si="38"/>
        <v>0</v>
      </c>
      <c r="V47" s="203">
        <f t="shared" si="39"/>
        <v>0</v>
      </c>
      <c r="W47" s="203">
        <f t="shared" si="40"/>
        <v>0</v>
      </c>
      <c r="X47" s="109">
        <f t="shared" si="45"/>
        <v>0</v>
      </c>
      <c r="Y47" s="203">
        <f t="shared" si="41"/>
        <v>0</v>
      </c>
    </row>
    <row r="48" spans="1:25" x14ac:dyDescent="0.25">
      <c r="A48" s="116">
        <v>9</v>
      </c>
      <c r="B48" s="117"/>
      <c r="C48" s="57"/>
      <c r="D48" s="179"/>
      <c r="E48" s="280"/>
      <c r="F48" s="214"/>
      <c r="G48" s="60">
        <f t="shared" si="46"/>
        <v>0</v>
      </c>
      <c r="H48" s="60">
        <f t="shared" si="42"/>
        <v>0</v>
      </c>
      <c r="I48" s="60">
        <f>50*Описание!E$16</f>
        <v>4250000</v>
      </c>
      <c r="J48" s="60">
        <f t="shared" si="43"/>
        <v>424893.75000000006</v>
      </c>
      <c r="K48" s="60">
        <f t="shared" si="28"/>
        <v>0</v>
      </c>
      <c r="L48" s="214"/>
      <c r="M48" s="203">
        <f t="shared" si="34"/>
        <v>0</v>
      </c>
      <c r="N48" s="203">
        <f>10*Описание!E$16</f>
        <v>850000</v>
      </c>
      <c r="O48" s="203">
        <f t="shared" si="44"/>
        <v>0</v>
      </c>
      <c r="P48" s="203">
        <f t="shared" si="35"/>
        <v>0</v>
      </c>
      <c r="Q48" s="203">
        <f t="shared" si="36"/>
        <v>0</v>
      </c>
      <c r="R48" s="214"/>
      <c r="S48" s="203">
        <f t="shared" si="37"/>
        <v>0</v>
      </c>
      <c r="T48" s="203">
        <f>Описание!$E$20</f>
        <v>595000</v>
      </c>
      <c r="U48" s="203">
        <f t="shared" si="38"/>
        <v>0</v>
      </c>
      <c r="V48" s="203">
        <f t="shared" si="39"/>
        <v>0</v>
      </c>
      <c r="W48" s="203">
        <f t="shared" si="40"/>
        <v>0</v>
      </c>
      <c r="X48" s="109">
        <f t="shared" si="45"/>
        <v>0</v>
      </c>
      <c r="Y48" s="203">
        <f t="shared" si="41"/>
        <v>0</v>
      </c>
    </row>
    <row r="49" spans="1:25" x14ac:dyDescent="0.25">
      <c r="A49" s="116">
        <v>10</v>
      </c>
      <c r="B49" s="117"/>
      <c r="C49" s="57"/>
      <c r="D49" s="179"/>
      <c r="E49" s="280"/>
      <c r="F49" s="180"/>
      <c r="G49" s="60">
        <f t="shared" si="46"/>
        <v>0</v>
      </c>
      <c r="H49" s="60">
        <f t="shared" si="42"/>
        <v>0</v>
      </c>
      <c r="I49" s="60">
        <f>50*Описание!E$16</f>
        <v>4250000</v>
      </c>
      <c r="J49" s="60">
        <f t="shared" si="43"/>
        <v>424893.75000000006</v>
      </c>
      <c r="K49" s="60">
        <f t="shared" si="28"/>
        <v>0</v>
      </c>
      <c r="L49" s="214"/>
      <c r="M49" s="203">
        <f t="shared" si="34"/>
        <v>0</v>
      </c>
      <c r="N49" s="203">
        <f>10*Описание!E$16</f>
        <v>850000</v>
      </c>
      <c r="O49" s="203">
        <f t="shared" si="44"/>
        <v>0</v>
      </c>
      <c r="P49" s="203">
        <f t="shared" si="35"/>
        <v>0</v>
      </c>
      <c r="Q49" s="203">
        <f t="shared" si="36"/>
        <v>0</v>
      </c>
      <c r="R49" s="214"/>
      <c r="S49" s="203">
        <f t="shared" si="37"/>
        <v>0</v>
      </c>
      <c r="T49" s="203">
        <f>Описание!$E$20</f>
        <v>595000</v>
      </c>
      <c r="U49" s="203">
        <f t="shared" si="38"/>
        <v>0</v>
      </c>
      <c r="V49" s="203">
        <f t="shared" si="39"/>
        <v>0</v>
      </c>
      <c r="W49" s="203">
        <f t="shared" si="40"/>
        <v>0</v>
      </c>
      <c r="X49" s="109">
        <f t="shared" si="45"/>
        <v>0</v>
      </c>
      <c r="Y49" s="203">
        <f t="shared" si="41"/>
        <v>0</v>
      </c>
    </row>
    <row r="50" spans="1:25" x14ac:dyDescent="0.25">
      <c r="A50" s="116">
        <v>11</v>
      </c>
      <c r="B50" s="117"/>
      <c r="C50" s="57"/>
      <c r="D50" s="179"/>
      <c r="E50" s="280"/>
      <c r="F50" s="181"/>
      <c r="G50" s="60">
        <f t="shared" si="46"/>
        <v>0</v>
      </c>
      <c r="H50" s="60">
        <f t="shared" si="42"/>
        <v>0</v>
      </c>
      <c r="I50" s="60">
        <f>50*Описание!E$16</f>
        <v>4250000</v>
      </c>
      <c r="J50" s="60">
        <f t="shared" si="43"/>
        <v>424893.75000000006</v>
      </c>
      <c r="K50" s="60">
        <f t="shared" si="28"/>
        <v>0</v>
      </c>
      <c r="L50" s="214"/>
      <c r="M50" s="203">
        <f t="shared" si="34"/>
        <v>0</v>
      </c>
      <c r="N50" s="203">
        <f>10*Описание!E$16</f>
        <v>850000</v>
      </c>
      <c r="O50" s="203">
        <f t="shared" si="44"/>
        <v>0</v>
      </c>
      <c r="P50" s="203">
        <f t="shared" si="35"/>
        <v>0</v>
      </c>
      <c r="Q50" s="203">
        <f t="shared" si="36"/>
        <v>0</v>
      </c>
      <c r="R50" s="214"/>
      <c r="S50" s="203">
        <f t="shared" si="37"/>
        <v>0</v>
      </c>
      <c r="T50" s="203">
        <f>Описание!$E$20</f>
        <v>595000</v>
      </c>
      <c r="U50" s="203">
        <f t="shared" si="38"/>
        <v>0</v>
      </c>
      <c r="V50" s="203">
        <f t="shared" si="39"/>
        <v>0</v>
      </c>
      <c r="W50" s="203">
        <f t="shared" si="40"/>
        <v>0</v>
      </c>
      <c r="X50" s="109">
        <f t="shared" si="45"/>
        <v>0</v>
      </c>
      <c r="Y50" s="203">
        <f t="shared" si="41"/>
        <v>0</v>
      </c>
    </row>
    <row r="51" spans="1:25" x14ac:dyDescent="0.25">
      <c r="A51" s="118">
        <v>12</v>
      </c>
      <c r="B51" s="117"/>
      <c r="C51" s="57"/>
      <c r="D51" s="179"/>
      <c r="E51" s="280"/>
      <c r="F51" s="181"/>
      <c r="G51" s="60">
        <f t="shared" si="46"/>
        <v>0</v>
      </c>
      <c r="H51" s="60">
        <f t="shared" si="42"/>
        <v>0</v>
      </c>
      <c r="I51" s="60">
        <f>50*Описание!E$16</f>
        <v>4250000</v>
      </c>
      <c r="J51" s="60">
        <f t="shared" si="43"/>
        <v>424893.75000000006</v>
      </c>
      <c r="K51" s="60">
        <f t="shared" si="28"/>
        <v>0</v>
      </c>
      <c r="L51" s="214"/>
      <c r="M51" s="203">
        <f t="shared" si="34"/>
        <v>0</v>
      </c>
      <c r="N51" s="203">
        <f>10*Описание!E$16</f>
        <v>850000</v>
      </c>
      <c r="O51" s="203">
        <f t="shared" si="44"/>
        <v>0</v>
      </c>
      <c r="P51" s="203">
        <f t="shared" si="35"/>
        <v>0</v>
      </c>
      <c r="Q51" s="203">
        <f t="shared" si="36"/>
        <v>0</v>
      </c>
      <c r="R51" s="214"/>
      <c r="S51" s="203">
        <f t="shared" si="37"/>
        <v>0</v>
      </c>
      <c r="T51" s="203">
        <f>Описание!$E$20</f>
        <v>595000</v>
      </c>
      <c r="U51" s="203">
        <f t="shared" si="38"/>
        <v>0</v>
      </c>
      <c r="V51" s="203">
        <f t="shared" si="39"/>
        <v>0</v>
      </c>
      <c r="W51" s="203">
        <f t="shared" si="40"/>
        <v>0</v>
      </c>
      <c r="X51" s="109">
        <f t="shared" si="45"/>
        <v>0</v>
      </c>
      <c r="Y51" s="203">
        <f t="shared" si="41"/>
        <v>0</v>
      </c>
    </row>
    <row r="52" spans="1:25" x14ac:dyDescent="0.25">
      <c r="A52" s="116">
        <v>13</v>
      </c>
      <c r="B52" s="117"/>
      <c r="C52" s="57"/>
      <c r="D52" s="179"/>
      <c r="E52" s="280"/>
      <c r="F52" s="180"/>
      <c r="G52" s="60">
        <f t="shared" si="46"/>
        <v>0</v>
      </c>
      <c r="H52" s="60">
        <f t="shared" si="42"/>
        <v>0</v>
      </c>
      <c r="I52" s="60">
        <f>50*Описание!E$16</f>
        <v>4250000</v>
      </c>
      <c r="J52" s="60">
        <f t="shared" si="43"/>
        <v>424893.75000000006</v>
      </c>
      <c r="K52" s="60">
        <f t="shared" si="28"/>
        <v>0</v>
      </c>
      <c r="L52" s="214"/>
      <c r="M52" s="203">
        <f t="shared" si="34"/>
        <v>0</v>
      </c>
      <c r="N52" s="203">
        <f>10*Описание!E$16</f>
        <v>850000</v>
      </c>
      <c r="O52" s="203">
        <f>IF(M52&lt;N52,M52,N52)</f>
        <v>0</v>
      </c>
      <c r="P52" s="203">
        <f t="shared" si="35"/>
        <v>0</v>
      </c>
      <c r="Q52" s="203">
        <f t="shared" si="36"/>
        <v>0</v>
      </c>
      <c r="R52" s="214"/>
      <c r="S52" s="203">
        <f t="shared" si="37"/>
        <v>0</v>
      </c>
      <c r="T52" s="203">
        <f>Описание!$E$20</f>
        <v>595000</v>
      </c>
      <c r="U52" s="203">
        <f t="shared" si="38"/>
        <v>0</v>
      </c>
      <c r="V52" s="203">
        <f t="shared" si="39"/>
        <v>0</v>
      </c>
      <c r="W52" s="203">
        <f t="shared" si="40"/>
        <v>0</v>
      </c>
      <c r="X52" s="203">
        <f t="shared" ref="X40:X52" si="47">G52*0%</f>
        <v>0</v>
      </c>
      <c r="Y52" s="203">
        <f t="shared" si="41"/>
        <v>0</v>
      </c>
    </row>
    <row r="53" spans="1:25" ht="40.200000000000003" thickBot="1" x14ac:dyDescent="0.3">
      <c r="A53" s="120"/>
      <c r="B53" s="111" t="s">
        <v>142</v>
      </c>
      <c r="C53" s="111"/>
      <c r="D53" s="112">
        <f t="shared" ref="D53:K53" si="48">D39+D26+D13</f>
        <v>4320000</v>
      </c>
      <c r="E53" s="282"/>
      <c r="F53" s="112">
        <f t="shared" si="48"/>
        <v>0</v>
      </c>
      <c r="G53" s="112">
        <f t="shared" si="48"/>
        <v>3780000</v>
      </c>
      <c r="H53" s="112">
        <f t="shared" si="48"/>
        <v>377905.5</v>
      </c>
      <c r="I53" s="112">
        <f t="shared" si="48"/>
        <v>0</v>
      </c>
      <c r="J53" s="112">
        <f t="shared" si="48"/>
        <v>0</v>
      </c>
      <c r="K53" s="112">
        <f t="shared" si="48"/>
        <v>377905.5</v>
      </c>
      <c r="L53" s="112">
        <f>L39</f>
        <v>0</v>
      </c>
      <c r="M53" s="112">
        <f>M39+M26+M13</f>
        <v>3780000</v>
      </c>
      <c r="N53" s="112">
        <f>N39+N26+N13</f>
        <v>31450000</v>
      </c>
      <c r="O53" s="112">
        <f>O39+O26+O13</f>
        <v>3780000</v>
      </c>
      <c r="P53" s="326">
        <f>P39+P26+P13</f>
        <v>75581.100000000006</v>
      </c>
      <c r="Q53" s="326">
        <f>Q39+Q26+Q13</f>
        <v>113778</v>
      </c>
      <c r="R53" s="112">
        <f t="shared" ref="R53:W53" si="49">R39+R26+R13</f>
        <v>0</v>
      </c>
      <c r="S53" s="112">
        <f t="shared" si="49"/>
        <v>3780000</v>
      </c>
      <c r="T53" s="112">
        <f t="shared" si="49"/>
        <v>22015000</v>
      </c>
      <c r="U53" s="112">
        <f t="shared" si="49"/>
        <v>3780000</v>
      </c>
      <c r="V53" s="326">
        <f t="shared" si="49"/>
        <v>121092.30000000002</v>
      </c>
      <c r="W53" s="326">
        <f t="shared" si="49"/>
        <v>78019.199999999997</v>
      </c>
      <c r="X53" s="326">
        <f>X39+X26+X13</f>
        <v>56889</v>
      </c>
      <c r="Y53" s="326">
        <f>Y39+Y26+Y13</f>
        <v>823265.10000000009</v>
      </c>
    </row>
    <row r="54" spans="1:25" x14ac:dyDescent="0.25">
      <c r="A54" s="113"/>
      <c r="B54" s="113"/>
      <c r="C54" s="113"/>
      <c r="D54" s="113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</row>
    <row r="55" spans="1:25" x14ac:dyDescent="0.25">
      <c r="A55" s="113"/>
      <c r="B55" s="113"/>
      <c r="C55" s="113"/>
      <c r="D55" s="113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</row>
    <row r="56" spans="1:25" x14ac:dyDescent="0.25">
      <c r="A56" s="61" t="s">
        <v>96</v>
      </c>
      <c r="B56" s="9"/>
      <c r="C56" s="121"/>
      <c r="E56" s="122"/>
      <c r="F56" s="122"/>
    </row>
    <row r="57" spans="1:25" x14ac:dyDescent="0.25">
      <c r="A57" s="61" t="s">
        <v>97</v>
      </c>
      <c r="B57" s="94"/>
      <c r="C57" s="121"/>
    </row>
    <row r="58" spans="1:25" x14ac:dyDescent="0.25">
      <c r="A58" s="61" t="s">
        <v>96</v>
      </c>
      <c r="B58" s="9"/>
      <c r="C58" s="121"/>
    </row>
    <row r="59" spans="1:25" x14ac:dyDescent="0.25">
      <c r="A59" s="61" t="s">
        <v>98</v>
      </c>
      <c r="B59" s="94"/>
      <c r="C59" s="121"/>
    </row>
    <row r="60" spans="1:25" x14ac:dyDescent="0.25">
      <c r="A60" s="61" t="s">
        <v>96</v>
      </c>
      <c r="B60" s="9"/>
      <c r="C60" s="121"/>
    </row>
    <row r="61" spans="1:25" x14ac:dyDescent="0.25">
      <c r="A61" s="61" t="s">
        <v>99</v>
      </c>
      <c r="B61" s="94"/>
      <c r="C61" s="121"/>
    </row>
    <row r="62" spans="1:25" x14ac:dyDescent="0.25">
      <c r="A62" s="61" t="s">
        <v>100</v>
      </c>
      <c r="B62" s="115"/>
      <c r="C62" s="94"/>
      <c r="D62" s="121"/>
      <c r="E62" s="94"/>
      <c r="F62" s="94"/>
    </row>
    <row r="63" spans="1:25" x14ac:dyDescent="0.25">
      <c r="A63" s="61" t="s">
        <v>101</v>
      </c>
      <c r="B63" s="94"/>
      <c r="C63" s="94"/>
      <c r="D63" s="121"/>
      <c r="E63" s="94"/>
      <c r="F63" s="94"/>
    </row>
    <row r="64" spans="1:25" x14ac:dyDescent="0.25"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</row>
    <row r="65" spans="1:20" x14ac:dyDescent="0.25">
      <c r="A65" s="306" t="s">
        <v>243</v>
      </c>
      <c r="B65" s="306"/>
      <c r="C65" s="306"/>
      <c r="D65" s="306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</row>
    <row r="66" spans="1:20" x14ac:dyDescent="0.25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</row>
    <row r="67" spans="1:20" x14ac:dyDescent="0.25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</row>
    <row r="68" spans="1:20" x14ac:dyDescent="0.25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</row>
    <row r="69" spans="1:20" x14ac:dyDescent="0.25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</row>
    <row r="70" spans="1:20" x14ac:dyDescent="0.25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</row>
    <row r="71" spans="1:20" x14ac:dyDescent="0.25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</row>
    <row r="72" spans="1:20" x14ac:dyDescent="0.25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</row>
    <row r="73" spans="1:20" x14ac:dyDescent="0.25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</row>
    <row r="74" spans="1:20" x14ac:dyDescent="0.25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</row>
    <row r="75" spans="1:20" x14ac:dyDescent="0.25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</row>
    <row r="76" spans="1:20" x14ac:dyDescent="0.25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</row>
    <row r="77" spans="1:20" x14ac:dyDescent="0.25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</row>
    <row r="78" spans="1:20" x14ac:dyDescent="0.25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</row>
    <row r="79" spans="1:20" x14ac:dyDescent="0.25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</row>
    <row r="80" spans="1:20" x14ac:dyDescent="0.25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</row>
    <row r="81" spans="1:15" x14ac:dyDescent="0.25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</row>
    <row r="82" spans="1:15" x14ac:dyDescent="0.25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</row>
    <row r="83" spans="1:15" x14ac:dyDescent="0.25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</row>
    <row r="84" spans="1:15" x14ac:dyDescent="0.25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</row>
    <row r="85" spans="1:15" x14ac:dyDescent="0.25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</row>
    <row r="86" spans="1:15" x14ac:dyDescent="0.25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</row>
  </sheetData>
  <mergeCells count="4">
    <mergeCell ref="G1:I1"/>
    <mergeCell ref="G2:I2"/>
    <mergeCell ref="G4:I4"/>
    <mergeCell ref="A65:T65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6"/>
  <sheetViews>
    <sheetView workbookViewId="0">
      <selection activeCell="P10" sqref="P10"/>
    </sheetView>
  </sheetViews>
  <sheetFormatPr defaultColWidth="8.88671875" defaultRowHeight="13.2" x14ac:dyDescent="0.25"/>
  <cols>
    <col min="1" max="1" width="4.44140625" style="48" customWidth="1"/>
    <col min="2" max="2" width="14.6640625" style="48" customWidth="1"/>
    <col min="3" max="3" width="12.33203125" style="48" customWidth="1"/>
    <col min="4" max="4" width="8.88671875" style="48"/>
    <col min="5" max="5" width="11.33203125" style="48" customWidth="1"/>
    <col min="6" max="6" width="13.88671875" style="48" customWidth="1"/>
    <col min="7" max="7" width="14" style="48" customWidth="1"/>
    <col min="8" max="8" width="10.6640625" style="48" customWidth="1"/>
    <col min="9" max="9" width="9.33203125" style="48" customWidth="1"/>
    <col min="10" max="10" width="10.21875" style="48" bestFit="1" customWidth="1"/>
    <col min="11" max="11" width="10.109375" style="48" bestFit="1" customWidth="1"/>
    <col min="12" max="12" width="9.109375" style="48" bestFit="1" customWidth="1"/>
    <col min="13" max="13" width="11.77734375" style="48" bestFit="1" customWidth="1"/>
    <col min="14" max="15" width="8.33203125" style="48" customWidth="1"/>
    <col min="16" max="16384" width="8.88671875" style="48"/>
  </cols>
  <sheetData>
    <row r="1" spans="1:15" ht="177.6" customHeight="1" x14ac:dyDescent="0.25">
      <c r="A1" s="44" t="s">
        <v>88</v>
      </c>
      <c r="B1" s="44" t="s">
        <v>244</v>
      </c>
      <c r="C1" s="227" t="s">
        <v>245</v>
      </c>
      <c r="D1" s="227" t="s">
        <v>247</v>
      </c>
      <c r="E1" s="227" t="s">
        <v>120</v>
      </c>
      <c r="F1" s="227" t="s">
        <v>479</v>
      </c>
      <c r="G1" s="227" t="s">
        <v>480</v>
      </c>
      <c r="H1" s="227" t="s">
        <v>481</v>
      </c>
      <c r="I1" s="227" t="s">
        <v>482</v>
      </c>
      <c r="J1" s="227" t="s">
        <v>483</v>
      </c>
      <c r="K1" s="227" t="s">
        <v>484</v>
      </c>
      <c r="L1" s="227" t="s">
        <v>485</v>
      </c>
      <c r="M1" s="227" t="s">
        <v>486</v>
      </c>
      <c r="N1" s="227" t="s">
        <v>326</v>
      </c>
      <c r="O1" s="227" t="s">
        <v>490</v>
      </c>
    </row>
    <row r="2" spans="1:15" ht="13.2" customHeight="1" x14ac:dyDescent="0.25">
      <c r="A2" s="229" t="s">
        <v>11</v>
      </c>
      <c r="B2" s="229" t="s">
        <v>13</v>
      </c>
      <c r="C2" s="229" t="s">
        <v>16</v>
      </c>
      <c r="D2" s="229" t="s">
        <v>212</v>
      </c>
      <c r="E2" s="229" t="s">
        <v>213</v>
      </c>
      <c r="F2" s="229" t="s">
        <v>214</v>
      </c>
      <c r="G2" s="229" t="s">
        <v>220</v>
      </c>
      <c r="H2" s="229" t="s">
        <v>299</v>
      </c>
      <c r="I2" s="230" t="s">
        <v>31</v>
      </c>
      <c r="J2" s="229" t="s">
        <v>251</v>
      </c>
      <c r="K2" s="229" t="s">
        <v>253</v>
      </c>
      <c r="L2" s="229" t="s">
        <v>254</v>
      </c>
      <c r="M2" s="229" t="s">
        <v>487</v>
      </c>
      <c r="N2" s="229" t="s">
        <v>258</v>
      </c>
      <c r="O2" s="229" t="s">
        <v>365</v>
      </c>
    </row>
    <row r="3" spans="1:15" ht="13.2" customHeight="1" x14ac:dyDescent="0.25">
      <c r="A3" s="317" t="s">
        <v>269</v>
      </c>
      <c r="B3" s="317"/>
      <c r="C3" s="232"/>
      <c r="D3" s="232"/>
      <c r="E3" s="232"/>
      <c r="F3" s="232"/>
      <c r="G3" s="232"/>
      <c r="H3" s="232"/>
      <c r="I3" s="233"/>
      <c r="J3" s="232"/>
      <c r="K3" s="232"/>
      <c r="L3" s="232"/>
      <c r="M3" s="232"/>
      <c r="N3" s="232"/>
      <c r="O3" s="232"/>
    </row>
    <row r="4" spans="1:15" ht="13.2" customHeight="1" x14ac:dyDescent="0.25">
      <c r="A4" s="48">
        <v>2</v>
      </c>
      <c r="B4" s="214" t="s">
        <v>436</v>
      </c>
      <c r="C4" s="214"/>
      <c r="D4" s="214"/>
      <c r="E4" s="234">
        <f>SUMIF(ЕП!B13:B53,B4,ЕП!D13:D53)</f>
        <v>1050000</v>
      </c>
      <c r="F4" s="327">
        <f>SUMIF(ЕП!B13:B53,B4,ЕП!Y13:Y53)</f>
        <v>225975.75</v>
      </c>
      <c r="G4" s="327">
        <f>SUMIF(ЕП!B13:B53,B4,ЕП!W13:W53)</f>
        <v>18963</v>
      </c>
      <c r="H4" s="327">
        <f>SUMIF(ЕП!B13:B53,B4,ЕП!K13:K53)</f>
        <v>104973.75</v>
      </c>
      <c r="I4" s="327">
        <f>SUMIF(ЕП!B13:B53,B4,ЕП!P13:P53)</f>
        <v>20994.750000000004</v>
      </c>
      <c r="J4" s="327">
        <f>SUMIF(ЕП!B13:B53,B4,ЕП!V13:V53)</f>
        <v>33636.75</v>
      </c>
      <c r="K4" s="327">
        <f>SUMIF(ЕП!B13:B53,B4,ЕП!Q13:Q53)</f>
        <v>31605</v>
      </c>
      <c r="L4" s="327">
        <f>SUMIF(ЕП!B13:B53,B4,ЕП!X13:X53)</f>
        <v>15802.5</v>
      </c>
      <c r="M4" s="327">
        <f>SUM(G4:L4)</f>
        <v>225975.75</v>
      </c>
      <c r="N4" s="234"/>
      <c r="O4" s="234"/>
    </row>
    <row r="5" spans="1:15" ht="13.2" customHeight="1" x14ac:dyDescent="0.25">
      <c r="A5" s="48">
        <v>3</v>
      </c>
      <c r="B5" s="214" t="s">
        <v>437</v>
      </c>
      <c r="C5" s="214"/>
      <c r="D5" s="214"/>
      <c r="E5" s="234">
        <f>SUMIF(ЕП!B14:B54,B5,ЕП!D14:D54)</f>
        <v>900000</v>
      </c>
      <c r="F5" s="327">
        <f>SUMIF(ЕП!B14:B54,B5,ЕП!Y14:Y54)</f>
        <v>193693.50000000003</v>
      </c>
      <c r="G5" s="327">
        <f>SUMIF(ЕП!B14:B54,B5,ЕП!W14:W54)</f>
        <v>16254</v>
      </c>
      <c r="H5" s="327">
        <f>SUMIF(ЕП!B14:B54,B5,ЕП!K14:K54)</f>
        <v>89977.500000000015</v>
      </c>
      <c r="I5" s="327">
        <f>SUMIF(ЕП!B14:B54,B5,ЕП!P14:P54)</f>
        <v>17995.500000000004</v>
      </c>
      <c r="J5" s="327">
        <f>SUMIF(ЕП!B14:B54,B5,ЕП!V14:V54)</f>
        <v>28831.5</v>
      </c>
      <c r="K5" s="327">
        <f>SUMIF(ЕП!B14:B54,B5,ЕП!Q14:Q54)</f>
        <v>27090</v>
      </c>
      <c r="L5" s="327">
        <f>SUMIF(ЕП!B14:B54,B5,ЕП!X14:X54)</f>
        <v>13545</v>
      </c>
      <c r="M5" s="327">
        <f t="shared" ref="M5:M15" si="0">SUM(G5:L5)</f>
        <v>193693.5</v>
      </c>
      <c r="N5" s="234"/>
      <c r="O5" s="234"/>
    </row>
    <row r="6" spans="1:15" ht="13.2" customHeight="1" x14ac:dyDescent="0.25">
      <c r="A6" s="48">
        <v>4</v>
      </c>
      <c r="B6" s="214" t="s">
        <v>438</v>
      </c>
      <c r="C6" s="214"/>
      <c r="D6" s="214"/>
      <c r="E6" s="234">
        <f>SUMIF(ЕП!B15:B55,B6,ЕП!D15:D55)</f>
        <v>840000</v>
      </c>
      <c r="F6" s="327">
        <f>SUMIF(ЕП!B15:B55,B6,ЕП!Y15:Y55)</f>
        <v>180780.60000000003</v>
      </c>
      <c r="G6" s="327">
        <f>SUMIF(ЕП!B15:B55,B6,ЕП!W15:W55)</f>
        <v>15170.400000000001</v>
      </c>
      <c r="H6" s="327">
        <f>SUMIF(ЕП!B15:B55,B6,ЕП!K15:K55)</f>
        <v>83979.000000000015</v>
      </c>
      <c r="I6" s="327">
        <f>SUMIF(ЕП!B15:B55,B6,ЕП!P15:P55)</f>
        <v>16795.800000000003</v>
      </c>
      <c r="J6" s="327">
        <f>SUMIF(ЕП!B15:B55,B6,ЕП!V15:V55)</f>
        <v>26909.4</v>
      </c>
      <c r="K6" s="327">
        <f>SUMIF(ЕП!B15:B55,B6,ЕП!Q15:Q55)</f>
        <v>25284</v>
      </c>
      <c r="L6" s="327">
        <f>SUMIF(ЕП!B15:B55,B6,ЕП!X15:X55)</f>
        <v>12642</v>
      </c>
      <c r="M6" s="327">
        <f t="shared" si="0"/>
        <v>180780.60000000003</v>
      </c>
      <c r="N6" s="234"/>
      <c r="O6" s="234"/>
    </row>
    <row r="7" spans="1:15" ht="13.2" customHeight="1" x14ac:dyDescent="0.25">
      <c r="A7" s="48">
        <v>5</v>
      </c>
      <c r="B7" s="214" t="s">
        <v>439</v>
      </c>
      <c r="C7" s="214"/>
      <c r="D7" s="214"/>
      <c r="E7" s="234">
        <f>SUMIF(ЕП!B16:B56,B7,ЕП!D16:D56)</f>
        <v>690000</v>
      </c>
      <c r="F7" s="327">
        <f>SUMIF(ЕП!B16:B56,B7,ЕП!Y16:Y56)</f>
        <v>148498.35000000003</v>
      </c>
      <c r="G7" s="327">
        <f>SUMIF(ЕП!B16:B56,B7,ЕП!W16:W56)</f>
        <v>12461.400000000001</v>
      </c>
      <c r="H7" s="327">
        <f>SUMIF(ЕП!B16:B56,B7,ЕП!K16:K56)</f>
        <v>68982.750000000015</v>
      </c>
      <c r="I7" s="327">
        <f>SUMIF(ЕП!B16:B56,B7,ЕП!P16:P56)</f>
        <v>13796.550000000001</v>
      </c>
      <c r="J7" s="327">
        <f>SUMIF(ЕП!B16:B56,B7,ЕП!V16:V56)</f>
        <v>22104.15</v>
      </c>
      <c r="K7" s="327">
        <f>SUMIF(ЕП!B16:B56,B7,ЕП!Q16:Q56)</f>
        <v>20769</v>
      </c>
      <c r="L7" s="327">
        <f>SUMIF(ЕП!B16:B56,B7,ЕП!X16:X56)</f>
        <v>10384.5</v>
      </c>
      <c r="M7" s="327">
        <f t="shared" si="0"/>
        <v>148498.35000000003</v>
      </c>
      <c r="N7" s="234"/>
      <c r="O7" s="234"/>
    </row>
    <row r="8" spans="1:15" ht="13.2" customHeight="1" x14ac:dyDescent="0.25">
      <c r="A8" s="48">
        <v>6</v>
      </c>
      <c r="B8" s="214" t="s">
        <v>440</v>
      </c>
      <c r="C8" s="214"/>
      <c r="D8" s="214"/>
      <c r="E8" s="234">
        <f>SUMIF(ЕП!B17:B57,B8,ЕП!D17:D57)</f>
        <v>540000</v>
      </c>
      <c r="F8" s="327">
        <f>SUMIF(ЕП!B17:B57,B8,ЕП!Y17:Y57)</f>
        <v>9752.4</v>
      </c>
      <c r="G8" s="327">
        <f>SUMIF(ЕП!B17:B57,B8,ЕП!W17:W57)</f>
        <v>9752.4</v>
      </c>
      <c r="H8" s="327">
        <f>SUMIF(ЕП!B17:B57,B8,ЕП!K17:K57)</f>
        <v>0</v>
      </c>
      <c r="I8" s="327">
        <f>SUMIF(ЕП!B17:B57,B8,ЕП!P17:P57)</f>
        <v>0</v>
      </c>
      <c r="J8" s="327">
        <f>SUMIF(ЕП!B17:B57,B8,ЕП!V17:V57)</f>
        <v>0</v>
      </c>
      <c r="K8" s="327">
        <f>SUMIF(ЕП!B17:B57,B8,ЕП!Q17:Q57)</f>
        <v>0</v>
      </c>
      <c r="L8" s="327">
        <f>SUMIF(ЕП!B17:B57,B8,ЕП!X17:X57)</f>
        <v>0</v>
      </c>
      <c r="M8" s="327">
        <f t="shared" si="0"/>
        <v>9752.4</v>
      </c>
      <c r="N8" s="234" t="s">
        <v>493</v>
      </c>
      <c r="O8" s="234"/>
    </row>
    <row r="9" spans="1:15" x14ac:dyDescent="0.25">
      <c r="A9" s="48">
        <v>7</v>
      </c>
      <c r="B9" s="214" t="s">
        <v>441</v>
      </c>
      <c r="C9" s="214"/>
      <c r="D9" s="214"/>
      <c r="E9" s="234">
        <f>SUMIF(ЕП!B18:B58,B9,ЕП!D18:D58)</f>
        <v>300000</v>
      </c>
      <c r="F9" s="327">
        <f>SUMIF(ЕП!B18:B58,B9,ЕП!Y18:Y58)</f>
        <v>64564.5</v>
      </c>
      <c r="G9" s="327">
        <f>SUMIF(ЕП!B18:B58,B9,ЕП!W18:W58)</f>
        <v>5418</v>
      </c>
      <c r="H9" s="327">
        <f>SUMIF(ЕП!B18:B58,B9,ЕП!K18:K58)</f>
        <v>29992.5</v>
      </c>
      <c r="I9" s="327">
        <f>SUMIF(ЕП!B18:B58,B9,ЕП!P18:P58)</f>
        <v>5998.5000000000009</v>
      </c>
      <c r="J9" s="327">
        <f>SUMIF(ЕП!B18:B58,B9,ЕП!V18:V58)</f>
        <v>9610.5</v>
      </c>
      <c r="K9" s="327">
        <f>SUMIF(ЕП!B18:B58,B9,ЕП!Q18:Q58)</f>
        <v>9030</v>
      </c>
      <c r="L9" s="327">
        <f>SUMIF(ЕП!B18:B58,B9,ЕП!X18:X58)</f>
        <v>4515</v>
      </c>
      <c r="M9" s="327">
        <f t="shared" si="0"/>
        <v>64564.5</v>
      </c>
      <c r="N9" s="234"/>
      <c r="O9" s="234"/>
    </row>
    <row r="10" spans="1:15" x14ac:dyDescent="0.25">
      <c r="A10" s="48">
        <v>8</v>
      </c>
      <c r="B10" s="214"/>
      <c r="C10" s="214"/>
      <c r="D10" s="214"/>
      <c r="E10" s="234">
        <f>SUMIF(ЕП!B19:B59,B10,ЕП!D19:D59)</f>
        <v>0</v>
      </c>
      <c r="F10" s="327">
        <f>SUMIF(ЕП!B19:B59,B10,ЕП!Y19:Y59)</f>
        <v>0</v>
      </c>
      <c r="G10" s="327">
        <f>SUMIF(ЕП!B19:B59,B10,ЕП!W19:W59)</f>
        <v>0</v>
      </c>
      <c r="H10" s="327">
        <f>SUMIF(ЕП!B19:B59,B10,ЕП!K19:K59)</f>
        <v>0</v>
      </c>
      <c r="I10" s="327">
        <f>SUMIF(ЕП!B19:B59,B10,ЕП!P19:P59)</f>
        <v>0</v>
      </c>
      <c r="J10" s="327">
        <f>SUMIF(ЕП!B19:B59,B10,ЕП!V19:V59)</f>
        <v>0</v>
      </c>
      <c r="K10" s="327">
        <f>SUMIF(ЕП!B19:B59,B10,ЕП!Q19:Q59)</f>
        <v>0</v>
      </c>
      <c r="L10" s="327">
        <f>SUMIF(ЕП!B19:B59,B10,ЕП!X19:X59)</f>
        <v>0</v>
      </c>
      <c r="M10" s="327">
        <f t="shared" si="0"/>
        <v>0</v>
      </c>
      <c r="N10" s="234"/>
      <c r="O10" s="234"/>
    </row>
    <row r="11" spans="1:15" x14ac:dyDescent="0.25">
      <c r="A11" s="48">
        <v>9</v>
      </c>
      <c r="B11" s="214" t="s">
        <v>493</v>
      </c>
      <c r="C11" s="214"/>
      <c r="D11" s="214"/>
      <c r="E11" s="234">
        <f>SUMIF(ЕП!B20:B60,B11,ЕП!D20:D60)</f>
        <v>0</v>
      </c>
      <c r="F11" s="327">
        <f>SUMIF(ЕП!B20:B60,B11,ЕП!Y20:Y60)</f>
        <v>0</v>
      </c>
      <c r="G11" s="327">
        <f>SUMIF(ЕП!B20:B60,B11,ЕП!W20:W60)</f>
        <v>0</v>
      </c>
      <c r="H11" s="327">
        <f>SUMIF(ЕП!B20:B60,B11,ЕП!K20:K60)</f>
        <v>0</v>
      </c>
      <c r="I11" s="327">
        <f>SUMIF(ЕП!B20:B60,B11,ЕП!P20:P60)</f>
        <v>0</v>
      </c>
      <c r="J11" s="327">
        <f>SUMIF(ЕП!B20:B60,B11,ЕП!V20:V60)</f>
        <v>0</v>
      </c>
      <c r="K11" s="327">
        <f>SUMIF(ЕП!B20:B60,B11,ЕП!Q20:Q60)</f>
        <v>0</v>
      </c>
      <c r="L11" s="327">
        <f>SUMIF(ЕП!B20:B60,B11,ЕП!X20:X60)</f>
        <v>0</v>
      </c>
      <c r="M11" s="327">
        <f t="shared" si="0"/>
        <v>0</v>
      </c>
      <c r="N11" s="234"/>
      <c r="O11" s="234"/>
    </row>
    <row r="12" spans="1:15" x14ac:dyDescent="0.25">
      <c r="A12" s="48">
        <v>10</v>
      </c>
      <c r="B12" s="214"/>
      <c r="C12" s="214"/>
      <c r="D12" s="214"/>
      <c r="E12" s="234">
        <f>SUMIF(ЕП!B21:B61,B12,ЕП!D21:D61)</f>
        <v>0</v>
      </c>
      <c r="F12" s="327">
        <f>SUMIF(ЕП!B21:B61,B12,ЕП!Y21:Y61)</f>
        <v>0</v>
      </c>
      <c r="G12" s="327">
        <f>SUMIF(ЕП!B21:B61,B12,ЕП!W21:W61)</f>
        <v>0</v>
      </c>
      <c r="H12" s="327">
        <f>SUMIF(ЕП!B21:B61,B12,ЕП!K21:K61)</f>
        <v>0</v>
      </c>
      <c r="I12" s="327">
        <f>SUMIF(ЕП!B21:B61,B12,ЕП!P21:P61)</f>
        <v>0</v>
      </c>
      <c r="J12" s="327">
        <f>SUMIF(ЕП!B21:B61,B12,ЕП!V21:V61)</f>
        <v>0</v>
      </c>
      <c r="K12" s="327">
        <f>SUMIF(ЕП!B21:B61,B12,ЕП!Q21:Q61)</f>
        <v>0</v>
      </c>
      <c r="L12" s="327">
        <f>SUMIF(ЕП!B21:B61,B12,ЕП!X21:X61)</f>
        <v>0</v>
      </c>
      <c r="M12" s="327">
        <f t="shared" si="0"/>
        <v>0</v>
      </c>
      <c r="N12" s="234"/>
      <c r="O12" s="234"/>
    </row>
    <row r="13" spans="1:15" x14ac:dyDescent="0.25">
      <c r="A13" s="48">
        <v>11</v>
      </c>
      <c r="B13" s="214"/>
      <c r="C13" s="214"/>
      <c r="D13" s="214"/>
      <c r="E13" s="234">
        <f>SUMIF(ЕП!B22:B62,B13,ЕП!D22:D62)</f>
        <v>0</v>
      </c>
      <c r="F13" s="327">
        <f>SUMIF(ЕП!B22:B62,B13,ЕП!Y22:Y62)</f>
        <v>0</v>
      </c>
      <c r="G13" s="327">
        <f>SUMIF(ЕП!B22:B62,B13,ЕП!W22:W62)</f>
        <v>0</v>
      </c>
      <c r="H13" s="327">
        <f>SUMIF(ЕП!B22:B62,B13,ЕП!K22:K62)</f>
        <v>0</v>
      </c>
      <c r="I13" s="327">
        <f>SUMIF(ЕП!B22:B62,B13,ЕП!P22:P62)</f>
        <v>0</v>
      </c>
      <c r="J13" s="327">
        <f>SUMIF(ЕП!B22:B62,B13,ЕП!V22:V62)</f>
        <v>0</v>
      </c>
      <c r="K13" s="327">
        <f>SUMIF(ЕП!B22:B62,B13,ЕП!Q22:Q62)</f>
        <v>0</v>
      </c>
      <c r="L13" s="327">
        <f>SUMIF(ЕП!B22:B62,B13,ЕП!X22:X62)</f>
        <v>0</v>
      </c>
      <c r="M13" s="327">
        <f t="shared" si="0"/>
        <v>0</v>
      </c>
      <c r="N13" s="234"/>
      <c r="O13" s="234"/>
    </row>
    <row r="14" spans="1:15" x14ac:dyDescent="0.25">
      <c r="A14" s="48">
        <v>12</v>
      </c>
      <c r="B14" s="214"/>
      <c r="C14" s="214"/>
      <c r="D14" s="214"/>
      <c r="E14" s="234">
        <f>SUMIF(ЕП!B23:B63,B14,ЕП!D23:D63)</f>
        <v>0</v>
      </c>
      <c r="F14" s="327">
        <f>SUMIF(ЕП!B23:B63,B14,ЕП!Y23:Y63)</f>
        <v>0</v>
      </c>
      <c r="G14" s="327">
        <f>SUMIF(ЕП!B23:B63,B14,ЕП!W23:W63)</f>
        <v>0</v>
      </c>
      <c r="H14" s="327">
        <f>SUMIF(ЕП!B23:B63,B14,ЕП!K23:K63)</f>
        <v>0</v>
      </c>
      <c r="I14" s="327">
        <f>SUMIF(ЕП!B23:B63,B14,ЕП!P23:P63)</f>
        <v>0</v>
      </c>
      <c r="J14" s="327">
        <f>SUMIF(ЕП!B23:B63,B14,ЕП!V23:V63)</f>
        <v>0</v>
      </c>
      <c r="K14" s="327">
        <f>SUMIF(ЕП!B23:B63,B14,ЕП!Q23:Q63)</f>
        <v>0</v>
      </c>
      <c r="L14" s="327">
        <f>SUMIF(ЕП!B23:B63,B14,ЕП!X23:X63)</f>
        <v>0</v>
      </c>
      <c r="M14" s="327">
        <f t="shared" si="0"/>
        <v>0</v>
      </c>
      <c r="N14" s="234"/>
      <c r="O14" s="234"/>
    </row>
    <row r="15" spans="1:15" x14ac:dyDescent="0.25">
      <c r="A15" s="48">
        <v>13</v>
      </c>
      <c r="B15" s="214"/>
      <c r="C15" s="214"/>
      <c r="D15" s="214"/>
      <c r="E15" s="234">
        <f>SUMIF(ЕП!B24:B64,B15,ЕП!D24:D64)</f>
        <v>0</v>
      </c>
      <c r="F15" s="327">
        <f>SUMIF(ЕП!B24:B64,B15,ЕП!Y24:Y64)</f>
        <v>0</v>
      </c>
      <c r="G15" s="327">
        <f>SUMIF(ЕП!B24:B64,B15,ЕП!W24:W64)</f>
        <v>0</v>
      </c>
      <c r="H15" s="327">
        <f>SUMIF(ЕП!B24:B64,B15,ЕП!K24:K64)</f>
        <v>0</v>
      </c>
      <c r="I15" s="327">
        <f>SUMIF(ЕП!B24:B64,B15,ЕП!P24:P64)</f>
        <v>0</v>
      </c>
      <c r="J15" s="327">
        <f>SUMIF(ЕП!B24:B64,B15,ЕП!V24:V64)</f>
        <v>0</v>
      </c>
      <c r="K15" s="327">
        <f>SUMIF(ЕП!B24:B64,B15,ЕП!Q24:Q64)</f>
        <v>0</v>
      </c>
      <c r="L15" s="327">
        <f>SUMIF(ЕП!B24:B64,B15,ЕП!X24:X64)</f>
        <v>0</v>
      </c>
      <c r="M15" s="327">
        <f t="shared" si="0"/>
        <v>0</v>
      </c>
      <c r="N15" s="234"/>
      <c r="O15" s="234"/>
    </row>
    <row r="16" spans="1:15" x14ac:dyDescent="0.25">
      <c r="B16" s="232" t="s">
        <v>277</v>
      </c>
      <c r="C16" s="232"/>
      <c r="D16" s="278"/>
      <c r="E16" s="279">
        <f t="shared" ref="E16:M16" si="1">SUM(E4:E15)</f>
        <v>4320000</v>
      </c>
      <c r="F16" s="278">
        <f t="shared" si="1"/>
        <v>823265.10000000021</v>
      </c>
      <c r="G16" s="278">
        <f t="shared" si="1"/>
        <v>78019.199999999997</v>
      </c>
      <c r="H16" s="278">
        <f t="shared" si="1"/>
        <v>377905.5</v>
      </c>
      <c r="I16" s="278">
        <f t="shared" si="1"/>
        <v>75581.100000000006</v>
      </c>
      <c r="J16" s="278">
        <f t="shared" si="1"/>
        <v>121092.29999999999</v>
      </c>
      <c r="K16" s="278">
        <f t="shared" si="1"/>
        <v>113778</v>
      </c>
      <c r="L16" s="278">
        <f t="shared" si="1"/>
        <v>56889</v>
      </c>
      <c r="M16" s="278">
        <f t="shared" si="1"/>
        <v>823265.10000000021</v>
      </c>
      <c r="N16" s="279"/>
      <c r="O16" s="279"/>
    </row>
    <row r="20" spans="2:2" x14ac:dyDescent="0.25">
      <c r="B20" s="48" t="s">
        <v>478</v>
      </c>
    </row>
    <row r="21" spans="2:2" x14ac:dyDescent="0.25">
      <c r="B21" s="48" t="s">
        <v>271</v>
      </c>
    </row>
    <row r="22" spans="2:2" x14ac:dyDescent="0.25">
      <c r="B22" s="48" t="s">
        <v>272</v>
      </c>
    </row>
    <row r="23" spans="2:2" x14ac:dyDescent="0.25">
      <c r="B23" s="235" t="s">
        <v>273</v>
      </c>
    </row>
    <row r="24" spans="2:2" x14ac:dyDescent="0.25">
      <c r="B24" s="235" t="s">
        <v>274</v>
      </c>
    </row>
    <row r="25" spans="2:2" x14ac:dyDescent="0.25">
      <c r="B25" s="235" t="s">
        <v>275</v>
      </c>
    </row>
    <row r="26" spans="2:2" x14ac:dyDescent="0.25">
      <c r="B26" s="235" t="s">
        <v>276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62"/>
  <sheetViews>
    <sheetView tabSelected="1" topLeftCell="A234" workbookViewId="0">
      <selection activeCell="D248" sqref="D248"/>
    </sheetView>
  </sheetViews>
  <sheetFormatPr defaultColWidth="9.109375" defaultRowHeight="13.2" x14ac:dyDescent="0.25"/>
  <cols>
    <col min="1" max="1" width="7.109375" style="48" customWidth="1"/>
    <col min="2" max="2" width="11.5546875" style="48" customWidth="1"/>
    <col min="3" max="4" width="9.109375" style="48"/>
    <col min="5" max="5" width="16" style="48" customWidth="1"/>
    <col min="6" max="6" width="9.109375" style="48"/>
    <col min="7" max="7" width="12" style="48" customWidth="1"/>
    <col min="8" max="10" width="9.109375" style="48"/>
    <col min="11" max="11" width="11.6640625" style="48" bestFit="1" customWidth="1"/>
    <col min="12" max="15" width="9.109375" style="48"/>
    <col min="16" max="16" width="12.33203125" style="48" customWidth="1"/>
    <col min="17" max="16384" width="9.109375" style="48"/>
  </cols>
  <sheetData>
    <row r="1" spans="1:13" x14ac:dyDescent="0.25">
      <c r="A1" s="8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5" t="s">
        <v>0</v>
      </c>
    </row>
    <row r="2" spans="1:13" ht="38.25" customHeight="1" x14ac:dyDescent="0.25">
      <c r="A2" s="2"/>
      <c r="B2" s="2"/>
      <c r="C2" s="2"/>
      <c r="D2" s="2"/>
      <c r="E2" s="304" t="s">
        <v>209</v>
      </c>
      <c r="F2" s="304"/>
      <c r="G2" s="304"/>
      <c r="H2" s="304"/>
      <c r="I2" s="304"/>
      <c r="J2" s="304"/>
      <c r="K2" s="304"/>
      <c r="L2" s="2"/>
      <c r="M2" s="2"/>
    </row>
    <row r="4" spans="1:13" ht="13.8" thickBot="1" x14ac:dyDescent="0.3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 t="s">
        <v>1</v>
      </c>
      <c r="M4" s="64"/>
    </row>
    <row r="5" spans="1:13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3.8" thickBot="1" x14ac:dyDescent="0.3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8" spans="1:13" x14ac:dyDescent="0.25">
      <c r="A8" s="300" t="s">
        <v>4</v>
      </c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</row>
    <row r="9" spans="1:13" ht="13.8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3.8" thickBot="1" x14ac:dyDescent="0.3">
      <c r="A10" s="65">
        <v>1</v>
      </c>
      <c r="B10" s="2"/>
      <c r="C10" s="66" t="s">
        <v>5</v>
      </c>
      <c r="D10" s="2"/>
      <c r="E10" s="67">
        <v>123123123</v>
      </c>
      <c r="F10" s="2"/>
      <c r="G10" s="2"/>
      <c r="H10" s="2"/>
      <c r="I10" s="2"/>
      <c r="J10" s="2"/>
      <c r="K10" s="2"/>
      <c r="L10" s="2"/>
      <c r="M10" s="2"/>
    </row>
    <row r="11" spans="1:13" ht="13.8" thickBot="1" x14ac:dyDescent="0.3">
      <c r="A11" s="68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13.8" thickBot="1" x14ac:dyDescent="0.3">
      <c r="A12" s="69">
        <v>2</v>
      </c>
      <c r="B12" s="2"/>
      <c r="C12" s="2" t="s">
        <v>6</v>
      </c>
      <c r="D12" s="2"/>
      <c r="E12" s="2"/>
      <c r="F12" s="2"/>
      <c r="G12" s="2"/>
      <c r="H12" s="2"/>
      <c r="I12" s="2"/>
      <c r="J12" s="1">
        <v>1</v>
      </c>
      <c r="K12" s="2" t="s">
        <v>7</v>
      </c>
      <c r="L12" s="4"/>
      <c r="M12" s="3">
        <v>2024</v>
      </c>
    </row>
    <row r="13" spans="1:13" ht="13.8" thickBot="1" x14ac:dyDescent="0.3">
      <c r="A13" s="68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13.8" thickBot="1" x14ac:dyDescent="0.3">
      <c r="A14" s="69">
        <v>3</v>
      </c>
      <c r="B14" s="2"/>
      <c r="C14" s="2" t="s">
        <v>8</v>
      </c>
      <c r="D14" s="2"/>
      <c r="E14" s="2"/>
      <c r="F14" s="2"/>
      <c r="G14" s="2"/>
      <c r="H14" s="2"/>
      <c r="I14" s="2"/>
      <c r="J14" s="4" t="s">
        <v>492</v>
      </c>
      <c r="K14" s="70"/>
      <c r="L14" s="70"/>
      <c r="M14" s="71"/>
    </row>
    <row r="15" spans="1:13" ht="13.8" thickBot="1" x14ac:dyDescent="0.3">
      <c r="A15" s="68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13.8" thickBot="1" x14ac:dyDescent="0.3">
      <c r="A16" s="69">
        <v>4</v>
      </c>
      <c r="B16" s="2"/>
      <c r="C16" s="2" t="s">
        <v>9</v>
      </c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5">
      <c r="A17" s="68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3.8" thickBot="1" x14ac:dyDescent="0.3">
      <c r="A18" s="68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13.8" thickBot="1" x14ac:dyDescent="0.3">
      <c r="A19" s="69">
        <v>5</v>
      </c>
      <c r="B19" s="2"/>
      <c r="C19" s="2" t="s">
        <v>10</v>
      </c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5">
      <c r="A20" s="6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5">
      <c r="A21" s="68"/>
      <c r="B21" s="72" t="s">
        <v>11</v>
      </c>
      <c r="C21" s="2" t="s">
        <v>12</v>
      </c>
      <c r="D21" s="4"/>
      <c r="E21" s="70"/>
      <c r="F21" s="71"/>
      <c r="G21" s="2"/>
      <c r="H21" s="2"/>
      <c r="I21" s="2"/>
      <c r="J21" s="2"/>
      <c r="K21" s="2"/>
      <c r="L21" s="2"/>
      <c r="M21" s="2"/>
    </row>
    <row r="22" spans="1:13" x14ac:dyDescent="0.25">
      <c r="A22" s="68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68"/>
      <c r="B23" s="72" t="s">
        <v>13</v>
      </c>
      <c r="C23" s="2" t="s">
        <v>14</v>
      </c>
      <c r="D23" s="4"/>
      <c r="E23" s="70"/>
      <c r="F23" s="71"/>
      <c r="G23" s="2"/>
      <c r="H23" s="2"/>
      <c r="I23" s="2"/>
      <c r="J23" s="2"/>
      <c r="K23" s="2"/>
      <c r="L23" s="2"/>
      <c r="M23" s="2"/>
    </row>
    <row r="24" spans="1:13" ht="13.8" thickBot="1" x14ac:dyDescent="0.3">
      <c r="A24" s="68"/>
      <c r="B24" s="7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3.8" thickBot="1" x14ac:dyDescent="0.3">
      <c r="A25" s="69">
        <v>6</v>
      </c>
      <c r="B25" s="73"/>
      <c r="C25" s="2" t="s">
        <v>15</v>
      </c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5">
      <c r="A26" s="68"/>
      <c r="B26" s="7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21.6" customHeight="1" x14ac:dyDescent="0.25">
      <c r="A27" s="68"/>
      <c r="B27" s="72" t="s">
        <v>11</v>
      </c>
      <c r="C27" s="296" t="s">
        <v>210</v>
      </c>
      <c r="D27" s="296"/>
      <c r="E27" s="296"/>
      <c r="F27" s="296"/>
      <c r="G27" s="296"/>
      <c r="H27" s="296"/>
      <c r="I27" s="296"/>
      <c r="J27" s="296"/>
      <c r="K27" s="296"/>
      <c r="L27" s="296"/>
      <c r="M27" s="2"/>
    </row>
    <row r="28" spans="1:13" ht="7.95" customHeight="1" x14ac:dyDescent="0.25">
      <c r="A28" s="68"/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4"/>
    </row>
    <row r="29" spans="1:13" ht="30" customHeight="1" x14ac:dyDescent="0.25">
      <c r="A29" s="68"/>
      <c r="B29" s="72" t="s">
        <v>13</v>
      </c>
      <c r="C29" s="296" t="s">
        <v>211</v>
      </c>
      <c r="D29" s="296"/>
      <c r="E29" s="296"/>
      <c r="F29" s="296"/>
      <c r="G29" s="296"/>
      <c r="H29" s="296"/>
      <c r="I29" s="296"/>
      <c r="J29" s="296"/>
      <c r="K29" s="296"/>
      <c r="L29" s="296"/>
    </row>
    <row r="30" spans="1:13" ht="6.6" customHeight="1" x14ac:dyDescent="0.25">
      <c r="A30" s="68"/>
      <c r="B30" s="73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3" ht="23.4" customHeight="1" x14ac:dyDescent="0.25">
      <c r="A31" s="68"/>
      <c r="B31" s="72" t="s">
        <v>16</v>
      </c>
      <c r="C31" s="296" t="s">
        <v>215</v>
      </c>
      <c r="D31" s="296"/>
      <c r="E31" s="296"/>
      <c r="F31" s="296"/>
      <c r="G31" s="296"/>
      <c r="H31" s="296"/>
      <c r="I31" s="296"/>
      <c r="J31" s="296"/>
      <c r="K31" s="296"/>
      <c r="L31" s="296"/>
    </row>
    <row r="32" spans="1:13" ht="4.95" customHeight="1" x14ac:dyDescent="0.25">
      <c r="A32" s="68"/>
      <c r="B32" s="73"/>
      <c r="C32" s="74"/>
      <c r="D32" s="74"/>
      <c r="E32" s="74"/>
      <c r="F32" s="74"/>
      <c r="G32" s="74"/>
      <c r="H32" s="74"/>
      <c r="I32" s="74"/>
      <c r="J32" s="74"/>
      <c r="K32" s="74"/>
      <c r="L32" s="74"/>
    </row>
    <row r="33" spans="1:13" ht="18.600000000000001" customHeight="1" x14ac:dyDescent="0.25">
      <c r="A33" s="68"/>
      <c r="B33" s="72" t="s">
        <v>212</v>
      </c>
      <c r="C33" s="296" t="s">
        <v>434</v>
      </c>
      <c r="D33" s="296"/>
      <c r="E33" s="296"/>
      <c r="F33" s="296"/>
      <c r="G33" s="296"/>
      <c r="H33" s="296"/>
      <c r="I33" s="296"/>
      <c r="J33" s="296"/>
      <c r="K33" s="296"/>
      <c r="L33" s="296"/>
    </row>
    <row r="34" spans="1:13" ht="6.6" customHeight="1" x14ac:dyDescent="0.25">
      <c r="A34" s="68"/>
      <c r="B34" s="73"/>
      <c r="C34" s="74"/>
      <c r="D34" s="74"/>
      <c r="E34" s="74"/>
      <c r="F34" s="74"/>
      <c r="G34" s="74"/>
      <c r="H34" s="74"/>
      <c r="I34" s="74"/>
      <c r="J34" s="74"/>
      <c r="K34" s="74"/>
      <c r="L34" s="74"/>
    </row>
    <row r="35" spans="1:13" ht="21" customHeight="1" x14ac:dyDescent="0.25">
      <c r="A35" s="68"/>
      <c r="B35" s="72" t="s">
        <v>213</v>
      </c>
      <c r="C35" s="296" t="s">
        <v>435</v>
      </c>
      <c r="D35" s="296"/>
      <c r="E35" s="296"/>
      <c r="F35" s="296"/>
      <c r="G35" s="296"/>
      <c r="H35" s="296"/>
      <c r="I35" s="296"/>
      <c r="J35" s="296"/>
      <c r="K35" s="296"/>
      <c r="L35" s="296"/>
    </row>
    <row r="36" spans="1:13" ht="6.6" customHeight="1" x14ac:dyDescent="0.25">
      <c r="A36" s="68"/>
      <c r="B36" s="73"/>
      <c r="C36" s="74"/>
      <c r="D36" s="74"/>
      <c r="E36" s="74"/>
      <c r="F36" s="74"/>
      <c r="G36" s="74"/>
      <c r="H36" s="74"/>
      <c r="I36" s="74"/>
      <c r="J36" s="74"/>
      <c r="K36" s="74"/>
      <c r="L36" s="74"/>
    </row>
    <row r="37" spans="1:13" ht="21" customHeight="1" x14ac:dyDescent="0.25">
      <c r="A37" s="68"/>
      <c r="B37" s="72" t="s">
        <v>214</v>
      </c>
      <c r="C37" s="296" t="s">
        <v>444</v>
      </c>
      <c r="D37" s="296"/>
      <c r="E37" s="296"/>
      <c r="F37" s="296"/>
      <c r="G37" s="296"/>
      <c r="H37" s="296"/>
      <c r="I37" s="296"/>
      <c r="J37" s="296"/>
      <c r="K37" s="296"/>
      <c r="L37" s="296"/>
    </row>
    <row r="38" spans="1:13" ht="5.4" customHeight="1" thickBot="1" x14ac:dyDescent="0.3">
      <c r="A38" s="68"/>
      <c r="B38" s="73"/>
      <c r="C38" s="74"/>
      <c r="D38" s="74"/>
      <c r="E38" s="74"/>
      <c r="F38" s="74"/>
      <c r="G38" s="74"/>
      <c r="H38" s="74"/>
      <c r="I38" s="74"/>
      <c r="J38" s="74"/>
      <c r="K38" s="74"/>
      <c r="L38" s="74"/>
    </row>
    <row r="39" spans="1:13" ht="17.399999999999999" customHeight="1" thickBot="1" x14ac:dyDescent="0.3">
      <c r="A39" s="69">
        <v>7</v>
      </c>
      <c r="B39" s="73"/>
      <c r="C39" s="296" t="s">
        <v>445</v>
      </c>
      <c r="D39" s="296"/>
      <c r="E39" s="296"/>
      <c r="F39" s="296"/>
      <c r="G39" s="296"/>
      <c r="H39" s="296"/>
      <c r="I39" s="296"/>
      <c r="J39" s="296"/>
      <c r="K39" s="296"/>
      <c r="L39" s="296"/>
      <c r="M39" s="2"/>
    </row>
    <row r="40" spans="1:13" ht="5.4" customHeight="1" thickBot="1" x14ac:dyDescent="0.3">
      <c r="A40" s="68"/>
      <c r="B40" s="73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</row>
    <row r="41" spans="1:13" ht="16.95" customHeight="1" thickBot="1" x14ac:dyDescent="0.3">
      <c r="A41" s="69">
        <v>8</v>
      </c>
      <c r="B41" s="73"/>
      <c r="C41" s="66" t="s">
        <v>446</v>
      </c>
      <c r="D41" s="74"/>
      <c r="E41" s="269" t="s">
        <v>447</v>
      </c>
      <c r="F41" s="74"/>
      <c r="G41" s="74"/>
      <c r="H41" s="74"/>
      <c r="I41" s="74"/>
      <c r="J41" s="74"/>
      <c r="K41" s="74"/>
      <c r="L41" s="74"/>
      <c r="M41" s="74"/>
    </row>
    <row r="42" spans="1:13" ht="6.6" customHeight="1" thickBot="1" x14ac:dyDescent="0.3">
      <c r="A42" s="68"/>
      <c r="B42" s="73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1:13" ht="22.5" customHeight="1" thickBot="1" x14ac:dyDescent="0.3">
      <c r="A43" s="69">
        <v>9</v>
      </c>
      <c r="B43" s="73"/>
      <c r="C43" s="296" t="s">
        <v>216</v>
      </c>
      <c r="D43" s="296"/>
      <c r="E43" s="296"/>
      <c r="F43" s="72" t="s">
        <v>11</v>
      </c>
      <c r="G43" s="303" t="s">
        <v>217</v>
      </c>
      <c r="H43" s="303"/>
      <c r="I43" s="74"/>
      <c r="J43" s="72" t="s">
        <v>13</v>
      </c>
      <c r="K43" s="303" t="s">
        <v>218</v>
      </c>
      <c r="L43" s="303"/>
      <c r="M43" s="74"/>
    </row>
    <row r="44" spans="1:13" ht="7.95" customHeight="1" thickBot="1" x14ac:dyDescent="0.3">
      <c r="A44" s="68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ht="13.8" thickBot="1" x14ac:dyDescent="0.3">
      <c r="A45" s="69">
        <v>10</v>
      </c>
      <c r="B45" s="2"/>
      <c r="C45" s="2" t="s">
        <v>17</v>
      </c>
      <c r="D45" s="2"/>
      <c r="E45" s="2"/>
      <c r="F45" s="75" t="s">
        <v>18</v>
      </c>
      <c r="G45" s="197"/>
      <c r="H45" s="2"/>
      <c r="I45" s="75" t="s">
        <v>19</v>
      </c>
      <c r="J45" s="197"/>
      <c r="K45" s="75" t="s">
        <v>20</v>
      </c>
      <c r="L45" s="197"/>
    </row>
    <row r="46" spans="1:13" ht="6" customHeight="1" x14ac:dyDescent="0.25">
      <c r="A46" s="68"/>
      <c r="B46" s="2"/>
      <c r="C46" s="2"/>
      <c r="D46" s="2"/>
      <c r="E46" s="2"/>
      <c r="F46" s="75"/>
      <c r="G46" s="223"/>
      <c r="H46" s="2"/>
      <c r="I46" s="75"/>
      <c r="J46" s="223"/>
      <c r="K46" s="75"/>
      <c r="L46" s="223"/>
    </row>
    <row r="47" spans="1:13" ht="19.95" customHeight="1" x14ac:dyDescent="0.25">
      <c r="A47" s="68"/>
      <c r="B47" s="2"/>
      <c r="C47" s="302" t="s">
        <v>419</v>
      </c>
      <c r="D47" s="302"/>
      <c r="E47" s="302"/>
      <c r="F47" s="75" t="s">
        <v>18</v>
      </c>
      <c r="G47" s="197"/>
      <c r="H47" s="2"/>
      <c r="I47" s="75" t="s">
        <v>19</v>
      </c>
      <c r="J47" s="197"/>
      <c r="K47" s="75" t="s">
        <v>20</v>
      </c>
      <c r="L47" s="197"/>
    </row>
    <row r="48" spans="1:13" ht="13.8" thickBot="1" x14ac:dyDescent="0.3">
      <c r="A48" s="68"/>
      <c r="B48" s="2"/>
      <c r="C48" s="302"/>
      <c r="D48" s="302"/>
      <c r="E48" s="302"/>
      <c r="F48" s="2"/>
      <c r="G48" s="2"/>
      <c r="H48" s="2"/>
      <c r="I48" s="2"/>
      <c r="J48" s="2"/>
      <c r="K48" s="2"/>
      <c r="L48" s="2"/>
      <c r="M48" s="2"/>
    </row>
    <row r="49" spans="1:15" ht="13.8" thickBot="1" x14ac:dyDescent="0.3">
      <c r="A49" s="69">
        <v>11</v>
      </c>
      <c r="B49" s="2"/>
      <c r="C49" s="2" t="s">
        <v>21</v>
      </c>
      <c r="D49" s="2"/>
      <c r="E49" s="2"/>
      <c r="F49" s="2"/>
      <c r="G49" s="2"/>
      <c r="H49" s="73">
        <v>2</v>
      </c>
      <c r="I49" s="67" t="s">
        <v>22</v>
      </c>
      <c r="J49" s="2"/>
      <c r="K49" s="67" t="s">
        <v>23</v>
      </c>
      <c r="L49" s="2"/>
      <c r="M49" s="2"/>
    </row>
    <row r="50" spans="1:15" ht="7.2" customHeight="1" thickBot="1" x14ac:dyDescent="0.3">
      <c r="A50" s="68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5" ht="13.8" thickBot="1" x14ac:dyDescent="0.3">
      <c r="A51" s="69">
        <v>12</v>
      </c>
      <c r="B51" s="2" t="s">
        <v>24</v>
      </c>
      <c r="D51" s="2"/>
      <c r="E51" s="2"/>
      <c r="F51" s="2"/>
      <c r="G51" s="2"/>
      <c r="H51" s="270"/>
      <c r="I51" s="270"/>
      <c r="J51" s="270"/>
      <c r="K51" s="270"/>
      <c r="L51" s="140"/>
      <c r="N51" s="140"/>
    </row>
    <row r="52" spans="1:15" ht="6.6" customHeight="1" thickBot="1" x14ac:dyDescent="0.3">
      <c r="A52" s="68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5" ht="13.8" thickBot="1" x14ac:dyDescent="0.3">
      <c r="A53" s="69">
        <v>13</v>
      </c>
      <c r="B53" s="2"/>
      <c r="C53" s="2" t="s">
        <v>25</v>
      </c>
      <c r="D53" s="2"/>
      <c r="E53" s="2"/>
      <c r="F53" s="77"/>
      <c r="G53" s="2"/>
      <c r="H53" s="69">
        <v>14</v>
      </c>
      <c r="I53" s="2"/>
      <c r="J53" s="2" t="s">
        <v>205</v>
      </c>
      <c r="K53" s="2"/>
      <c r="L53" s="2"/>
      <c r="M53" s="77"/>
      <c r="O53" s="2"/>
    </row>
    <row r="54" spans="1:15" ht="5.4" customHeight="1" x14ac:dyDescent="0.25">
      <c r="A54" s="68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5" x14ac:dyDescent="0.25">
      <c r="H55" s="73">
        <v>4</v>
      </c>
      <c r="I55" s="2"/>
      <c r="J55" s="78"/>
      <c r="K55" s="78"/>
      <c r="L55" s="78"/>
      <c r="M55" s="79"/>
    </row>
    <row r="56" spans="1:15" x14ac:dyDescent="0.25">
      <c r="A56" s="300" t="s">
        <v>26</v>
      </c>
      <c r="B56" s="300"/>
      <c r="C56" s="300"/>
      <c r="D56" s="300"/>
      <c r="E56" s="300"/>
      <c r="F56" s="300"/>
      <c r="G56" s="300"/>
      <c r="H56" s="300"/>
      <c r="I56" s="300"/>
      <c r="J56" s="300"/>
      <c r="K56" s="300"/>
      <c r="L56" s="300"/>
      <c r="M56" s="300"/>
    </row>
    <row r="57" spans="1:15" ht="20.25" customHeight="1" x14ac:dyDescent="0.25">
      <c r="A57" s="2" t="s">
        <v>27</v>
      </c>
      <c r="B57" s="2"/>
      <c r="C57" s="2"/>
      <c r="D57" s="2" t="s">
        <v>28</v>
      </c>
      <c r="E57" s="2"/>
      <c r="F57" s="2"/>
      <c r="G57" s="2"/>
      <c r="H57" s="2"/>
      <c r="I57" s="2"/>
      <c r="J57" s="2"/>
      <c r="K57" s="2"/>
      <c r="L57" s="2"/>
      <c r="M57" s="2" t="s">
        <v>498</v>
      </c>
    </row>
    <row r="58" spans="1:15" x14ac:dyDescent="0.25">
      <c r="A58" s="2"/>
      <c r="B58" s="80" t="s">
        <v>29</v>
      </c>
      <c r="C58" s="2"/>
      <c r="D58" s="2" t="s">
        <v>30</v>
      </c>
      <c r="E58" s="2"/>
      <c r="F58" s="2"/>
      <c r="G58" s="2"/>
      <c r="H58" s="2"/>
      <c r="I58" s="2"/>
      <c r="J58" s="2"/>
      <c r="K58" s="2"/>
      <c r="L58" s="2"/>
      <c r="M58" s="2"/>
    </row>
    <row r="59" spans="1:15" x14ac:dyDescent="0.25">
      <c r="A59" s="2"/>
      <c r="B59" s="2"/>
      <c r="C59" s="2" t="s">
        <v>18</v>
      </c>
      <c r="D59" s="81" t="s">
        <v>31</v>
      </c>
      <c r="E59" s="76">
        <f>РегистрИПН!R14+ДоговораГПХ!AA8+регистр200.02!AM8</f>
        <v>0</v>
      </c>
      <c r="F59" s="2"/>
      <c r="G59" s="2" t="s">
        <v>32</v>
      </c>
      <c r="J59" s="72" t="s">
        <v>33</v>
      </c>
      <c r="K59" s="76">
        <f>E59+E61+E63</f>
        <v>25000</v>
      </c>
      <c r="L59" s="267">
        <f>регистр200.02!AM45+регистр200.05!T34</f>
        <v>25000</v>
      </c>
      <c r="M59" s="220">
        <f>K59-L59</f>
        <v>0</v>
      </c>
    </row>
    <row r="60" spans="1:15" x14ac:dyDescent="0.25">
      <c r="A60" s="2"/>
      <c r="B60" s="2"/>
      <c r="C60" s="2"/>
      <c r="D60" s="82"/>
      <c r="E60" s="2"/>
      <c r="F60" s="2"/>
      <c r="G60" s="2"/>
      <c r="H60" s="2"/>
      <c r="I60" s="2"/>
      <c r="J60" s="2"/>
      <c r="K60" s="2"/>
      <c r="L60" s="267"/>
      <c r="M60" s="2"/>
    </row>
    <row r="61" spans="1:15" x14ac:dyDescent="0.25">
      <c r="A61" s="2"/>
      <c r="B61" s="2"/>
      <c r="C61" s="2" t="s">
        <v>19</v>
      </c>
      <c r="D61" s="81" t="s">
        <v>34</v>
      </c>
      <c r="E61" s="76">
        <f>РегистрИПН!R27+ДоговораГПХ!AA21+регистр200.02!AM13</f>
        <v>25000</v>
      </c>
      <c r="F61" s="2"/>
      <c r="G61" s="2"/>
      <c r="H61" s="2"/>
      <c r="I61" s="2"/>
      <c r="J61" s="2"/>
      <c r="K61" s="2"/>
      <c r="L61" s="267"/>
      <c r="M61" s="2"/>
    </row>
    <row r="62" spans="1:15" x14ac:dyDescent="0.25">
      <c r="A62" s="2"/>
      <c r="B62" s="2"/>
      <c r="C62" s="2"/>
      <c r="D62" s="82"/>
      <c r="E62" s="2"/>
      <c r="F62" s="2"/>
      <c r="G62" s="2"/>
      <c r="H62" s="2"/>
      <c r="I62" s="2"/>
      <c r="J62" s="2"/>
      <c r="K62" s="2"/>
      <c r="L62" s="267"/>
      <c r="M62" s="2"/>
    </row>
    <row r="63" spans="1:15" x14ac:dyDescent="0.25">
      <c r="A63" s="2"/>
      <c r="B63" s="2"/>
      <c r="C63" s="2" t="s">
        <v>20</v>
      </c>
      <c r="D63" s="81" t="s">
        <v>35</v>
      </c>
      <c r="E63" s="76">
        <f>РегистрИПН!R40+ДоговораГПХ!AA34+регистр200.02!AM18</f>
        <v>0</v>
      </c>
      <c r="F63" s="2"/>
      <c r="G63" s="2"/>
      <c r="H63" s="2"/>
      <c r="I63" s="2"/>
      <c r="J63" s="2"/>
      <c r="K63" s="2"/>
      <c r="L63" s="267"/>
      <c r="M63" s="2"/>
    </row>
    <row r="64" spans="1:15" x14ac:dyDescent="0.25">
      <c r="A64" s="2"/>
      <c r="B64" s="82"/>
      <c r="C64" s="2"/>
      <c r="D64" s="83"/>
      <c r="E64" s="2"/>
      <c r="F64" s="2"/>
      <c r="G64" s="2"/>
      <c r="H64" s="2"/>
      <c r="I64" s="2"/>
      <c r="J64" s="2"/>
      <c r="K64" s="2"/>
      <c r="L64" s="267"/>
      <c r="M64" s="2"/>
    </row>
    <row r="65" spans="1:13" x14ac:dyDescent="0.25">
      <c r="A65" s="2"/>
      <c r="B65" s="80" t="s">
        <v>36</v>
      </c>
      <c r="C65" s="2"/>
      <c r="D65" s="2" t="s">
        <v>280</v>
      </c>
      <c r="E65" s="2"/>
      <c r="F65" s="2"/>
      <c r="G65" s="2"/>
      <c r="H65" s="2"/>
      <c r="I65" s="2"/>
      <c r="J65" s="2"/>
      <c r="K65" s="2"/>
      <c r="L65" s="267"/>
      <c r="M65" s="2"/>
    </row>
    <row r="66" spans="1:13" x14ac:dyDescent="0.25">
      <c r="B66" s="2"/>
      <c r="C66" s="2" t="s">
        <v>18</v>
      </c>
      <c r="D66" s="81" t="s">
        <v>31</v>
      </c>
      <c r="E66" s="76">
        <f>РегистрОПВ!N13+ДоговораГПХ!M8+регистр200.02!AV8</f>
        <v>0</v>
      </c>
      <c r="F66" s="2"/>
      <c r="G66" s="2" t="s">
        <v>32</v>
      </c>
      <c r="J66" s="72" t="s">
        <v>33</v>
      </c>
      <c r="K66" s="76">
        <f>E66+E68+E70</f>
        <v>0</v>
      </c>
      <c r="L66" s="268">
        <f>регистр200.02!AV45+регистр200.05!U34</f>
        <v>0</v>
      </c>
      <c r="M66" s="220">
        <f>K66-L66</f>
        <v>0</v>
      </c>
    </row>
    <row r="67" spans="1:13" x14ac:dyDescent="0.25">
      <c r="B67" s="2"/>
      <c r="C67" s="2"/>
      <c r="D67" s="82"/>
      <c r="E67" s="2"/>
      <c r="F67" s="2"/>
      <c r="G67" s="2"/>
      <c r="H67" s="2"/>
      <c r="I67" s="2"/>
    </row>
    <row r="68" spans="1:13" x14ac:dyDescent="0.25">
      <c r="B68" s="2"/>
      <c r="C68" s="2" t="s">
        <v>19</v>
      </c>
      <c r="D68" s="81" t="s">
        <v>34</v>
      </c>
      <c r="E68" s="76">
        <f>РегистрОПВ!N26+ДоговораГПХ!M21+регистр200.02!AV13</f>
        <v>0</v>
      </c>
      <c r="F68" s="2"/>
      <c r="G68" s="2"/>
      <c r="H68" s="2"/>
      <c r="I68" s="2"/>
    </row>
    <row r="69" spans="1:13" x14ac:dyDescent="0.25">
      <c r="B69" s="2"/>
      <c r="C69" s="2"/>
      <c r="D69" s="82"/>
      <c r="E69" s="2"/>
      <c r="F69" s="2"/>
      <c r="G69" s="2"/>
      <c r="H69" s="2"/>
      <c r="I69" s="2"/>
    </row>
    <row r="70" spans="1:13" x14ac:dyDescent="0.25">
      <c r="B70" s="2"/>
      <c r="C70" s="2" t="s">
        <v>20</v>
      </c>
      <c r="D70" s="81" t="s">
        <v>35</v>
      </c>
      <c r="E70" s="76">
        <f>РегистрОПВ!N39+ДоговораГПХ!M34+регистр200.02!AV18</f>
        <v>0</v>
      </c>
      <c r="F70" s="2"/>
      <c r="G70" s="2"/>
      <c r="H70" s="2"/>
      <c r="I70" s="2"/>
    </row>
    <row r="71" spans="1:13" x14ac:dyDescent="0.25">
      <c r="B71" s="82"/>
      <c r="C71" s="2"/>
      <c r="D71" s="83"/>
      <c r="E71" s="2"/>
      <c r="F71" s="2"/>
      <c r="G71" s="2"/>
      <c r="H71" s="2"/>
      <c r="I71" s="2"/>
    </row>
    <row r="72" spans="1:13" x14ac:dyDescent="0.25">
      <c r="B72" s="80" t="s">
        <v>37</v>
      </c>
      <c r="C72" s="2"/>
      <c r="D72" s="2" t="s">
        <v>38</v>
      </c>
      <c r="E72" s="2"/>
      <c r="F72" s="2"/>
      <c r="G72" s="2"/>
      <c r="H72" s="2"/>
      <c r="I72" s="2"/>
    </row>
    <row r="73" spans="1:13" x14ac:dyDescent="0.25">
      <c r="B73" s="84"/>
      <c r="C73" s="2" t="s">
        <v>18</v>
      </c>
      <c r="D73" s="81" t="s">
        <v>31</v>
      </c>
      <c r="E73" s="271"/>
      <c r="F73" s="2"/>
      <c r="G73" s="2" t="s">
        <v>20</v>
      </c>
      <c r="J73" s="85" t="s">
        <v>35</v>
      </c>
      <c r="K73" s="272"/>
    </row>
    <row r="74" spans="1:13" x14ac:dyDescent="0.25">
      <c r="B74" s="82"/>
      <c r="C74" s="2"/>
      <c r="D74" s="82"/>
      <c r="E74" s="2"/>
      <c r="F74" s="2"/>
      <c r="G74" s="2"/>
      <c r="H74" s="2"/>
      <c r="I74" s="2"/>
    </row>
    <row r="75" spans="1:13" x14ac:dyDescent="0.25">
      <c r="B75" s="84"/>
      <c r="C75" s="2" t="s">
        <v>19</v>
      </c>
      <c r="D75" s="81" t="s">
        <v>34</v>
      </c>
      <c r="E75" s="272"/>
      <c r="F75" s="2"/>
      <c r="G75" s="2" t="s">
        <v>32</v>
      </c>
      <c r="J75" s="72" t="s">
        <v>33</v>
      </c>
      <c r="K75" s="76">
        <f>K73+E75+E73</f>
        <v>0</v>
      </c>
    </row>
    <row r="76" spans="1:13" x14ac:dyDescent="0.25">
      <c r="B76" s="82"/>
      <c r="C76" s="2"/>
      <c r="D76" s="83"/>
      <c r="E76" s="2"/>
      <c r="F76" s="2"/>
      <c r="G76" s="2"/>
      <c r="H76" s="2"/>
      <c r="I76" s="2"/>
    </row>
    <row r="77" spans="1:13" x14ac:dyDescent="0.25">
      <c r="B77" s="82"/>
      <c r="C77" s="2"/>
      <c r="D77" s="83"/>
      <c r="E77" s="2"/>
      <c r="F77" s="2"/>
      <c r="G77" s="2"/>
      <c r="H77" s="2"/>
      <c r="I77" s="2"/>
    </row>
    <row r="78" spans="1:13" x14ac:dyDescent="0.25">
      <c r="B78" s="78" t="s">
        <v>39</v>
      </c>
      <c r="C78" s="2"/>
      <c r="D78" s="2" t="s">
        <v>40</v>
      </c>
      <c r="E78" s="2"/>
      <c r="F78" s="2"/>
      <c r="G78" s="2"/>
      <c r="H78" s="2"/>
      <c r="I78" s="2"/>
    </row>
    <row r="79" spans="1:13" x14ac:dyDescent="0.25">
      <c r="B79" s="84"/>
      <c r="C79" s="2" t="s">
        <v>18</v>
      </c>
      <c r="D79" s="81" t="s">
        <v>31</v>
      </c>
      <c r="E79" s="289"/>
      <c r="F79" s="2"/>
      <c r="G79" s="2" t="s">
        <v>20</v>
      </c>
      <c r="J79" s="85" t="s">
        <v>35</v>
      </c>
      <c r="K79" s="286"/>
    </row>
    <row r="80" spans="1:13" x14ac:dyDescent="0.25">
      <c r="B80" s="82"/>
      <c r="C80" s="2"/>
      <c r="D80" s="82"/>
      <c r="E80" s="2"/>
      <c r="F80" s="2"/>
      <c r="G80" s="2"/>
      <c r="H80" s="2"/>
      <c r="I80" s="2"/>
    </row>
    <row r="81" spans="2:13" x14ac:dyDescent="0.25">
      <c r="B81" s="84"/>
      <c r="C81" s="2" t="s">
        <v>19</v>
      </c>
      <c r="D81" s="81" t="s">
        <v>34</v>
      </c>
      <c r="E81" s="289"/>
      <c r="F81" s="2"/>
      <c r="G81" s="2" t="s">
        <v>32</v>
      </c>
      <c r="J81" s="72" t="s">
        <v>33</v>
      </c>
      <c r="K81" s="76">
        <f>K79+E81+E79</f>
        <v>0</v>
      </c>
    </row>
    <row r="82" spans="2:13" x14ac:dyDescent="0.25">
      <c r="B82" s="82"/>
      <c r="C82" s="2"/>
      <c r="D82" s="83"/>
      <c r="E82" s="2"/>
      <c r="F82" s="2"/>
      <c r="G82" s="2"/>
      <c r="H82" s="2"/>
      <c r="I82" s="2"/>
    </row>
    <row r="83" spans="2:13" x14ac:dyDescent="0.25">
      <c r="B83" s="78" t="s">
        <v>41</v>
      </c>
      <c r="C83" s="2"/>
      <c r="D83" s="2" t="s">
        <v>201</v>
      </c>
      <c r="E83" s="2"/>
      <c r="F83" s="2"/>
      <c r="G83" s="2"/>
      <c r="H83" s="2"/>
      <c r="I83" s="2"/>
    </row>
    <row r="84" spans="2:13" x14ac:dyDescent="0.25">
      <c r="B84" s="84"/>
      <c r="C84" s="2" t="s">
        <v>18</v>
      </c>
      <c r="D84" s="81" t="s">
        <v>31</v>
      </c>
      <c r="E84" s="76">
        <f>РегистрСН!K14+регистр200.02!AT8</f>
        <v>0</v>
      </c>
      <c r="F84" s="2"/>
      <c r="G84" s="2" t="s">
        <v>20</v>
      </c>
      <c r="J84" s="85" t="s">
        <v>35</v>
      </c>
      <c r="K84" s="76">
        <f>РегистрСН!K40+регистр200.02!AT18</f>
        <v>0</v>
      </c>
    </row>
    <row r="85" spans="2:13" x14ac:dyDescent="0.25">
      <c r="B85" s="82"/>
      <c r="C85" s="2"/>
      <c r="D85" s="82"/>
      <c r="E85" s="2"/>
      <c r="F85" s="2"/>
      <c r="G85" s="2"/>
      <c r="H85" s="2"/>
      <c r="I85" s="2"/>
    </row>
    <row r="86" spans="2:13" x14ac:dyDescent="0.25">
      <c r="B86" s="84"/>
      <c r="C86" s="2" t="s">
        <v>19</v>
      </c>
      <c r="D86" s="81" t="s">
        <v>34</v>
      </c>
      <c r="E86" s="76">
        <f>РегистрСН!K27+регистр200.02!AT13</f>
        <v>0</v>
      </c>
      <c r="F86" s="2"/>
      <c r="G86" s="2" t="s">
        <v>32</v>
      </c>
      <c r="J86" s="72" t="s">
        <v>33</v>
      </c>
      <c r="K86" s="76">
        <f>E84+E86+K84</f>
        <v>0</v>
      </c>
      <c r="L86" s="48">
        <f>регистр200.02!AT45+регистр200.05!AA34</f>
        <v>0</v>
      </c>
      <c r="M86" s="219">
        <f>K86-L86</f>
        <v>0</v>
      </c>
    </row>
    <row r="87" spans="2:13" x14ac:dyDescent="0.25">
      <c r="B87" s="82"/>
      <c r="C87" s="2"/>
      <c r="D87" s="83"/>
      <c r="E87" s="2"/>
      <c r="F87" s="2"/>
      <c r="G87" s="2"/>
      <c r="H87" s="2"/>
      <c r="I87" s="2"/>
    </row>
    <row r="88" spans="2:13" x14ac:dyDescent="0.25">
      <c r="B88" s="78" t="s">
        <v>42</v>
      </c>
      <c r="C88" s="2"/>
      <c r="D88" s="2" t="s">
        <v>202</v>
      </c>
      <c r="E88" s="2"/>
      <c r="F88" s="2"/>
      <c r="G88" s="2"/>
      <c r="H88" s="2"/>
      <c r="I88" s="2"/>
    </row>
    <row r="89" spans="2:13" x14ac:dyDescent="0.25">
      <c r="B89" s="84"/>
      <c r="C89" s="2" t="s">
        <v>18</v>
      </c>
      <c r="D89" s="81" t="s">
        <v>31</v>
      </c>
      <c r="E89" s="273"/>
      <c r="F89" s="2"/>
      <c r="G89" s="2" t="s">
        <v>20</v>
      </c>
      <c r="J89" s="85" t="s">
        <v>35</v>
      </c>
      <c r="K89" s="273"/>
    </row>
    <row r="90" spans="2:13" x14ac:dyDescent="0.25">
      <c r="B90" s="82"/>
      <c r="C90" s="2"/>
      <c r="D90" s="82"/>
      <c r="E90" s="2"/>
      <c r="F90" s="2"/>
      <c r="G90" s="2"/>
      <c r="H90" s="2"/>
      <c r="I90" s="2"/>
    </row>
    <row r="91" spans="2:13" x14ac:dyDescent="0.25">
      <c r="B91" s="84"/>
      <c r="C91" s="2" t="s">
        <v>19</v>
      </c>
      <c r="D91" s="81" t="s">
        <v>34</v>
      </c>
      <c r="E91" s="273"/>
      <c r="F91" s="2"/>
      <c r="G91" s="2" t="s">
        <v>32</v>
      </c>
      <c r="J91" s="72" t="s">
        <v>33</v>
      </c>
      <c r="K91" s="86">
        <v>0</v>
      </c>
    </row>
    <row r="92" spans="2:13" x14ac:dyDescent="0.25">
      <c r="B92" s="82"/>
      <c r="C92" s="2"/>
      <c r="D92" s="83"/>
      <c r="E92" s="2"/>
      <c r="F92" s="2"/>
      <c r="G92" s="2"/>
      <c r="H92" s="2"/>
      <c r="I92" s="2"/>
    </row>
    <row r="93" spans="2:13" x14ac:dyDescent="0.25">
      <c r="B93" s="78" t="s">
        <v>43</v>
      </c>
      <c r="C93" s="2"/>
      <c r="D93" s="2" t="s">
        <v>203</v>
      </c>
      <c r="E93" s="2"/>
      <c r="F93" s="2"/>
      <c r="G93" s="2"/>
      <c r="H93" s="2"/>
      <c r="I93" s="2"/>
    </row>
    <row r="94" spans="2:13" x14ac:dyDescent="0.25">
      <c r="B94" s="84"/>
      <c r="C94" s="2" t="s">
        <v>18</v>
      </c>
      <c r="D94" s="81" t="s">
        <v>31</v>
      </c>
      <c r="E94" s="286"/>
      <c r="F94" s="2"/>
      <c r="G94" s="2" t="s">
        <v>20</v>
      </c>
      <c r="J94" s="85" t="s">
        <v>35</v>
      </c>
      <c r="K94" s="286"/>
    </row>
    <row r="95" spans="2:13" x14ac:dyDescent="0.25">
      <c r="B95" s="82"/>
      <c r="C95" s="2"/>
      <c r="D95" s="82"/>
      <c r="E95" s="2"/>
      <c r="F95" s="2"/>
      <c r="G95" s="2"/>
      <c r="H95" s="2"/>
      <c r="I95" s="2"/>
    </row>
    <row r="96" spans="2:13" x14ac:dyDescent="0.25">
      <c r="B96" s="84"/>
      <c r="C96" s="2" t="s">
        <v>19</v>
      </c>
      <c r="D96" s="81" t="s">
        <v>34</v>
      </c>
      <c r="E96" s="286"/>
      <c r="F96" s="2"/>
      <c r="G96" s="2" t="s">
        <v>32</v>
      </c>
      <c r="J96" s="72" t="s">
        <v>33</v>
      </c>
      <c r="K96" s="76">
        <f>E94+E96+K94</f>
        <v>0</v>
      </c>
    </row>
    <row r="97" spans="1:13" x14ac:dyDescent="0.25">
      <c r="B97" s="82"/>
      <c r="C97" s="2"/>
      <c r="D97" s="83"/>
      <c r="E97" s="2"/>
      <c r="F97" s="2"/>
      <c r="G97" s="2"/>
      <c r="H97" s="2"/>
      <c r="I97" s="2"/>
    </row>
    <row r="98" spans="1:13" x14ac:dyDescent="0.25">
      <c r="B98" s="78" t="s">
        <v>44</v>
      </c>
      <c r="C98" s="2"/>
      <c r="D98" s="2" t="s">
        <v>45</v>
      </c>
      <c r="E98" s="2"/>
      <c r="F98" s="2"/>
      <c r="G98" s="2"/>
      <c r="H98" s="2"/>
      <c r="I98" s="2"/>
    </row>
    <row r="99" spans="1:13" x14ac:dyDescent="0.25">
      <c r="A99" s="2"/>
      <c r="B99" s="84"/>
      <c r="C99" s="2" t="s">
        <v>18</v>
      </c>
      <c r="D99" s="81" t="s">
        <v>31</v>
      </c>
      <c r="E99" s="76">
        <f>'РегистрСО ОСМС'!I14+регистр200.02!AS8</f>
        <v>0</v>
      </c>
      <c r="F99" s="2"/>
      <c r="G99" s="2" t="s">
        <v>20</v>
      </c>
      <c r="J99" s="85" t="s">
        <v>35</v>
      </c>
      <c r="K99" s="76">
        <f>'РегистрСО ОСМС'!I40+регистр200.02!AS18</f>
        <v>0</v>
      </c>
      <c r="L99" s="2"/>
      <c r="M99" s="2"/>
    </row>
    <row r="100" spans="1:13" x14ac:dyDescent="0.25">
      <c r="A100" s="2"/>
      <c r="B100" s="82"/>
      <c r="C100" s="2"/>
      <c r="D100" s="8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25">
      <c r="A101" s="2"/>
      <c r="B101" s="84"/>
      <c r="C101" s="2" t="s">
        <v>19</v>
      </c>
      <c r="D101" s="81" t="s">
        <v>34</v>
      </c>
      <c r="E101" s="76">
        <f>'РегистрСО ОСМС'!I27+регистр200.02!AS13</f>
        <v>0</v>
      </c>
      <c r="F101" s="2"/>
      <c r="G101" s="2" t="s">
        <v>32</v>
      </c>
      <c r="J101" s="72" t="s">
        <v>33</v>
      </c>
      <c r="K101" s="76">
        <f>K99+E101+E99</f>
        <v>0</v>
      </c>
      <c r="L101" s="2">
        <f>регистр200.02!AS45+регистр200.05!Z34</f>
        <v>0</v>
      </c>
      <c r="M101" s="220">
        <f>K101-L101</f>
        <v>0</v>
      </c>
    </row>
    <row r="102" spans="1:13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25">
      <c r="A103" s="2"/>
      <c r="B103" s="78" t="s">
        <v>46</v>
      </c>
      <c r="C103" s="2"/>
      <c r="D103" s="2" t="s">
        <v>47</v>
      </c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25">
      <c r="A104" s="2"/>
      <c r="B104" s="84"/>
      <c r="C104" s="2" t="s">
        <v>18</v>
      </c>
      <c r="D104" s="81" t="s">
        <v>31</v>
      </c>
      <c r="E104" s="286"/>
      <c r="F104" s="2"/>
      <c r="G104" s="2" t="s">
        <v>20</v>
      </c>
      <c r="J104" s="85" t="s">
        <v>35</v>
      </c>
      <c r="K104" s="286"/>
      <c r="L104" s="2"/>
      <c r="M104" s="2"/>
    </row>
    <row r="105" spans="1:13" x14ac:dyDescent="0.25">
      <c r="A105" s="2"/>
      <c r="B105" s="82"/>
      <c r="C105" s="2"/>
      <c r="D105" s="8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25">
      <c r="A106" s="2"/>
      <c r="B106" s="84"/>
      <c r="C106" s="2" t="s">
        <v>19</v>
      </c>
      <c r="D106" s="81" t="s">
        <v>34</v>
      </c>
      <c r="E106" s="286"/>
      <c r="F106" s="2"/>
      <c r="G106" s="2" t="s">
        <v>32</v>
      </c>
      <c r="J106" s="72" t="s">
        <v>33</v>
      </c>
      <c r="K106" s="76">
        <f>K104+E106+E104</f>
        <v>0</v>
      </c>
      <c r="L106" s="2"/>
      <c r="M106" s="2"/>
    </row>
    <row r="107" spans="1:13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x14ac:dyDescent="0.25">
      <c r="A109" s="2"/>
      <c r="B109" s="78" t="s">
        <v>172</v>
      </c>
      <c r="C109" s="2"/>
      <c r="D109" s="2" t="s">
        <v>173</v>
      </c>
      <c r="E109" s="2"/>
      <c r="F109" s="2"/>
      <c r="G109" s="2"/>
      <c r="H109" s="2"/>
      <c r="I109" s="2"/>
      <c r="J109" s="2"/>
      <c r="K109" s="2"/>
      <c r="L109" s="2"/>
      <c r="M109" s="2"/>
    </row>
    <row r="110" spans="1:13" x14ac:dyDescent="0.25">
      <c r="A110" s="2"/>
      <c r="B110" s="84"/>
      <c r="C110" s="2" t="s">
        <v>18</v>
      </c>
      <c r="D110" s="81"/>
      <c r="E110" s="76">
        <f>'РегистрСО ОСМС'!O14+регистр200.02!BA8</f>
        <v>0</v>
      </c>
      <c r="F110" s="2"/>
      <c r="G110" s="2" t="s">
        <v>20</v>
      </c>
      <c r="J110" s="85"/>
      <c r="K110" s="76">
        <f>'РегистрСО ОСМС'!O40+регистр200.02!BA18</f>
        <v>0</v>
      </c>
      <c r="L110" s="2"/>
      <c r="M110" s="2"/>
    </row>
    <row r="111" spans="1:13" x14ac:dyDescent="0.25">
      <c r="A111" s="2"/>
      <c r="B111" s="82"/>
      <c r="C111" s="2"/>
      <c r="D111" s="8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x14ac:dyDescent="0.25">
      <c r="A112" s="2"/>
      <c r="B112" s="84"/>
      <c r="C112" s="2" t="s">
        <v>19</v>
      </c>
      <c r="D112" s="81"/>
      <c r="E112" s="76">
        <f>'РегистрСО ОСМС'!O27+регистр200.02!BA13</f>
        <v>0</v>
      </c>
      <c r="F112" s="2"/>
      <c r="G112" s="2" t="s">
        <v>32</v>
      </c>
      <c r="J112" s="72"/>
      <c r="K112" s="76">
        <f>K110+E112+E110</f>
        <v>0</v>
      </c>
      <c r="L112" s="2">
        <f>регистр200.02!BA45+регистр200.05!AC34</f>
        <v>0</v>
      </c>
      <c r="M112" s="220">
        <f>K112-L112</f>
        <v>0</v>
      </c>
    </row>
    <row r="113" spans="1:13" x14ac:dyDescent="0.25">
      <c r="A113" s="2"/>
      <c r="B113" s="78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x14ac:dyDescent="0.25">
      <c r="A115" s="2"/>
      <c r="B115" s="78" t="s">
        <v>174</v>
      </c>
      <c r="C115" s="2"/>
      <c r="D115" s="2" t="s">
        <v>175</v>
      </c>
      <c r="E115" s="2"/>
      <c r="F115" s="2"/>
      <c r="G115" s="2"/>
      <c r="H115" s="2"/>
      <c r="I115" s="2"/>
      <c r="J115" s="2"/>
      <c r="K115" s="2"/>
      <c r="L115" s="2"/>
      <c r="M115" s="2"/>
    </row>
    <row r="116" spans="1:13" x14ac:dyDescent="0.25">
      <c r="A116" s="2"/>
      <c r="B116" s="84"/>
      <c r="C116" s="2" t="s">
        <v>18</v>
      </c>
      <c r="D116" s="81"/>
      <c r="E116" s="76">
        <f>РегистрОПВ!T13+ДоговораГПХ!AG8+регистр200.02!Z8</f>
        <v>0</v>
      </c>
      <c r="F116" s="2"/>
      <c r="G116" s="2" t="s">
        <v>20</v>
      </c>
      <c r="J116" s="85"/>
      <c r="K116" s="76">
        <f>РегистрОПВ!T39+ДоговораГПХ!AG34+регистр200.02!Z18</f>
        <v>0</v>
      </c>
      <c r="L116" s="2"/>
      <c r="M116" s="2"/>
    </row>
    <row r="117" spans="1:13" x14ac:dyDescent="0.25">
      <c r="A117" s="2"/>
      <c r="B117" s="82"/>
      <c r="C117" s="2"/>
      <c r="D117" s="8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x14ac:dyDescent="0.25">
      <c r="A118" s="2"/>
      <c r="B118" s="84"/>
      <c r="C118" s="2" t="s">
        <v>19</v>
      </c>
      <c r="D118" s="81"/>
      <c r="E118" s="76">
        <f>РегистрОПВ!T26+ДоговораГПХ!AG21+регистр200.02!Z13</f>
        <v>0</v>
      </c>
      <c r="F118" s="2"/>
      <c r="G118" s="2" t="s">
        <v>32</v>
      </c>
      <c r="J118" s="72"/>
      <c r="K118" s="76">
        <f>K116+E118+E116</f>
        <v>0</v>
      </c>
      <c r="L118" s="2">
        <f>регистр200.02!Z45+регистр200.05!L34</f>
        <v>0</v>
      </c>
      <c r="M118" s="220">
        <f>K118-L118</f>
        <v>0</v>
      </c>
    </row>
    <row r="119" spans="1:13" x14ac:dyDescent="0.25">
      <c r="A119" s="2"/>
      <c r="B119" s="78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x14ac:dyDescent="0.25">
      <c r="A120" s="2"/>
      <c r="B120" s="78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x14ac:dyDescent="0.25">
      <c r="A121" s="2"/>
      <c r="B121" s="78" t="s">
        <v>295</v>
      </c>
      <c r="C121" s="2"/>
      <c r="D121" s="2" t="s">
        <v>296</v>
      </c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25">
      <c r="A122" s="2"/>
      <c r="B122" s="84"/>
      <c r="C122" s="2" t="s">
        <v>18</v>
      </c>
      <c r="D122" s="81"/>
      <c r="E122" s="272"/>
      <c r="F122" s="2"/>
      <c r="G122" s="2" t="s">
        <v>20</v>
      </c>
      <c r="J122" s="85"/>
      <c r="K122" s="272"/>
      <c r="L122" s="2"/>
      <c r="M122" s="2"/>
    </row>
    <row r="123" spans="1:13" x14ac:dyDescent="0.25">
      <c r="A123" s="2"/>
      <c r="B123" s="82"/>
      <c r="C123" s="2"/>
      <c r="D123" s="8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25">
      <c r="A124" s="2"/>
      <c r="B124" s="84"/>
      <c r="C124" s="2" t="s">
        <v>19</v>
      </c>
      <c r="D124" s="81"/>
      <c r="E124" s="272"/>
      <c r="F124" s="2"/>
      <c r="G124" s="2" t="s">
        <v>32</v>
      </c>
      <c r="J124" s="72"/>
      <c r="K124" s="76">
        <f>K122+E124+E122</f>
        <v>0</v>
      </c>
      <c r="L124" s="2"/>
      <c r="M124" s="2"/>
    </row>
    <row r="125" spans="1:13" x14ac:dyDescent="0.25">
      <c r="A125" s="2"/>
      <c r="B125" s="78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x14ac:dyDescent="0.25">
      <c r="A126" s="2"/>
      <c r="B126" s="78" t="s">
        <v>448</v>
      </c>
      <c r="C126" s="2"/>
      <c r="D126" s="2" t="s">
        <v>449</v>
      </c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25">
      <c r="A127" s="2"/>
      <c r="B127" s="84"/>
      <c r="C127" s="2" t="s">
        <v>18</v>
      </c>
      <c r="D127" s="81"/>
      <c r="E127" s="272">
        <f>РегистрОПВ!U13</f>
        <v>0</v>
      </c>
      <c r="F127" s="2"/>
      <c r="G127" s="2" t="s">
        <v>20</v>
      </c>
      <c r="J127" s="85"/>
      <c r="K127" s="272">
        <f>РегистрОПВ!U39</f>
        <v>0</v>
      </c>
      <c r="L127" s="2"/>
      <c r="M127" s="2"/>
    </row>
    <row r="128" spans="1:13" x14ac:dyDescent="0.25">
      <c r="A128" s="2"/>
      <c r="B128" s="82"/>
      <c r="C128" s="2"/>
      <c r="D128" s="8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25">
      <c r="A129" s="2"/>
      <c r="B129" s="84"/>
      <c r="C129" s="2" t="s">
        <v>19</v>
      </c>
      <c r="D129" s="81"/>
      <c r="E129" s="272">
        <f>РегистрОПВ!U26</f>
        <v>0</v>
      </c>
      <c r="F129" s="2"/>
      <c r="G129" s="2" t="s">
        <v>32</v>
      </c>
      <c r="J129" s="72"/>
      <c r="K129" s="76">
        <f>K127+E129+E127</f>
        <v>0</v>
      </c>
      <c r="L129" s="2"/>
      <c r="M129" s="2"/>
    </row>
    <row r="130" spans="1:13" x14ac:dyDescent="0.25">
      <c r="A130" s="2"/>
      <c r="B130" s="78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25">
      <c r="A131" s="2"/>
      <c r="B131" s="78" t="s">
        <v>450</v>
      </c>
      <c r="C131" s="2"/>
      <c r="D131" s="2" t="s">
        <v>451</v>
      </c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25">
      <c r="A132" s="2"/>
      <c r="B132" s="84"/>
      <c r="C132" s="2" t="s">
        <v>18</v>
      </c>
      <c r="D132" s="81"/>
      <c r="E132" s="272">
        <f>ЕП!Y13</f>
        <v>274421.7</v>
      </c>
      <c r="F132" s="2"/>
      <c r="G132" s="2" t="s">
        <v>20</v>
      </c>
      <c r="J132" s="85"/>
      <c r="K132" s="272">
        <f>ЕП!Y39</f>
        <v>274421.7</v>
      </c>
      <c r="L132" s="2"/>
      <c r="M132" s="2"/>
    </row>
    <row r="133" spans="1:13" x14ac:dyDescent="0.25">
      <c r="A133" s="2"/>
      <c r="B133" s="82"/>
      <c r="C133" s="2"/>
      <c r="D133" s="8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25">
      <c r="A134" s="2"/>
      <c r="B134" s="84"/>
      <c r="C134" s="2" t="s">
        <v>19</v>
      </c>
      <c r="D134" s="81"/>
      <c r="E134" s="272">
        <f>ЕП!Y26</f>
        <v>274421.7</v>
      </c>
      <c r="F134" s="2"/>
      <c r="G134" s="2" t="s">
        <v>32</v>
      </c>
      <c r="J134" s="72"/>
      <c r="K134" s="76">
        <f>K132+E134+E132</f>
        <v>823265.10000000009</v>
      </c>
      <c r="L134" s="2"/>
      <c r="M134" s="2"/>
    </row>
    <row r="135" spans="1:13" x14ac:dyDescent="0.25">
      <c r="A135" s="2"/>
      <c r="B135" s="78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47.25" customHeight="1" x14ac:dyDescent="0.25">
      <c r="A136" s="301" t="s">
        <v>219</v>
      </c>
      <c r="B136" s="301"/>
      <c r="C136" s="301"/>
      <c r="D136" s="301"/>
      <c r="E136" s="301"/>
      <c r="F136" s="301"/>
      <c r="G136" s="301"/>
      <c r="H136" s="301"/>
      <c r="I136" s="301"/>
      <c r="J136" s="301"/>
      <c r="K136" s="301"/>
      <c r="L136" s="301"/>
      <c r="M136" s="301"/>
    </row>
    <row r="138" spans="1:13" x14ac:dyDescent="0.25">
      <c r="A138" s="295" t="s">
        <v>48</v>
      </c>
      <c r="B138" s="295"/>
      <c r="C138" s="295"/>
      <c r="D138" s="295"/>
      <c r="E138" s="295"/>
      <c r="F138" s="295"/>
      <c r="G138" s="295"/>
      <c r="H138" s="295"/>
      <c r="I138" s="295"/>
      <c r="J138" s="295"/>
      <c r="K138" s="295"/>
      <c r="L138" s="295"/>
      <c r="M138" s="295"/>
    </row>
    <row r="139" spans="1:13" x14ac:dyDescent="0.25">
      <c r="A139" s="2" t="s">
        <v>27</v>
      </c>
      <c r="B139" s="2"/>
      <c r="C139" s="2"/>
      <c r="D139" s="2" t="s">
        <v>28</v>
      </c>
      <c r="E139" s="2"/>
      <c r="F139" s="2"/>
      <c r="G139" s="2"/>
      <c r="H139" s="2"/>
      <c r="I139" s="2"/>
      <c r="J139" s="2"/>
      <c r="K139" s="2"/>
      <c r="L139" s="2"/>
      <c r="M139" s="2"/>
    </row>
    <row r="140" spans="1:13" x14ac:dyDescent="0.25">
      <c r="A140" s="2"/>
      <c r="B140" s="80" t="s">
        <v>49</v>
      </c>
      <c r="C140" s="2"/>
      <c r="D140" s="2" t="s">
        <v>50</v>
      </c>
      <c r="E140" s="2"/>
      <c r="F140" s="2"/>
      <c r="G140" s="2"/>
      <c r="H140" s="2"/>
      <c r="I140" s="2"/>
      <c r="J140" s="2"/>
      <c r="K140" s="2"/>
      <c r="L140" s="2"/>
      <c r="M140" s="2"/>
    </row>
    <row r="141" spans="1:13" x14ac:dyDescent="0.25">
      <c r="A141" s="2"/>
      <c r="B141" s="2"/>
      <c r="C141" s="2" t="s">
        <v>18</v>
      </c>
      <c r="D141" s="81" t="s">
        <v>31</v>
      </c>
      <c r="E141" s="76">
        <f>РегистрИПН!D14+ДоговораГПХ!D8+регистр200.02!O8</f>
        <v>0</v>
      </c>
      <c r="F141" s="2"/>
      <c r="G141" s="2" t="s">
        <v>32</v>
      </c>
      <c r="J141" s="72" t="s">
        <v>33</v>
      </c>
      <c r="K141" s="76">
        <f>E145+E143+E141</f>
        <v>250000</v>
      </c>
      <c r="L141" s="2"/>
      <c r="M141" s="2"/>
    </row>
    <row r="142" spans="1:13" x14ac:dyDescent="0.25">
      <c r="A142" s="2"/>
      <c r="B142" s="2"/>
      <c r="C142" s="2"/>
      <c r="D142" s="8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x14ac:dyDescent="0.25">
      <c r="B143" s="2"/>
      <c r="C143" s="2" t="s">
        <v>19</v>
      </c>
      <c r="D143" s="81" t="s">
        <v>34</v>
      </c>
      <c r="E143" s="76">
        <f>РегистрИПН!D27+ДоговораГПХ!D21+регистр200.02!O13</f>
        <v>250000</v>
      </c>
      <c r="F143" s="2"/>
      <c r="G143" s="2"/>
      <c r="H143" s="2"/>
      <c r="I143" s="2"/>
      <c r="J143" s="2"/>
      <c r="K143" s="2"/>
      <c r="L143" s="2"/>
      <c r="M143" s="2"/>
    </row>
    <row r="144" spans="1:13" x14ac:dyDescent="0.25">
      <c r="B144" s="2"/>
      <c r="C144" s="2"/>
      <c r="D144" s="82"/>
      <c r="E144" s="2"/>
      <c r="F144" s="2"/>
      <c r="G144" s="2"/>
      <c r="H144" s="2"/>
      <c r="I144" s="2"/>
      <c r="J144" s="2"/>
      <c r="K144" s="2"/>
      <c r="L144" s="2"/>
      <c r="M144" s="2"/>
    </row>
    <row r="145" spans="2:13" x14ac:dyDescent="0.25">
      <c r="B145" s="2"/>
      <c r="C145" s="2" t="s">
        <v>20</v>
      </c>
      <c r="D145" s="85" t="s">
        <v>35</v>
      </c>
      <c r="E145" s="76">
        <f>РегистрИПН!D40+ДоговораГПХ!D34+регистр200.02!O18</f>
        <v>0</v>
      </c>
      <c r="F145" s="2"/>
      <c r="G145" s="2"/>
      <c r="H145" s="2"/>
      <c r="I145" s="2"/>
      <c r="J145" s="2"/>
      <c r="K145" s="2"/>
      <c r="L145" s="2"/>
      <c r="M145" s="2"/>
    </row>
    <row r="146" spans="2:13" x14ac:dyDescent="0.25">
      <c r="B146" s="2"/>
      <c r="C146" s="2"/>
      <c r="D146" s="2" t="s">
        <v>51</v>
      </c>
      <c r="E146" s="2"/>
      <c r="F146" s="2"/>
      <c r="G146" s="2"/>
      <c r="H146" s="2"/>
      <c r="I146" s="2"/>
      <c r="J146" s="2"/>
      <c r="K146" s="2"/>
      <c r="L146" s="2"/>
      <c r="M146" s="2"/>
    </row>
    <row r="147" spans="2:13" x14ac:dyDescent="0.25">
      <c r="B147" s="2"/>
      <c r="C147" s="2"/>
      <c r="D147" s="72" t="s">
        <v>11</v>
      </c>
      <c r="E147" s="2" t="s">
        <v>52</v>
      </c>
      <c r="F147" s="2"/>
      <c r="G147" s="2"/>
      <c r="H147" s="2"/>
      <c r="J147" s="2"/>
      <c r="K147" s="87">
        <f>РегистрОПВ!E53+регистр200.02!O19</f>
        <v>0</v>
      </c>
      <c r="L147" s="2"/>
      <c r="M147" s="2"/>
    </row>
    <row r="148" spans="2:13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2:13" x14ac:dyDescent="0.25">
      <c r="B149" s="2"/>
      <c r="C149" s="2"/>
      <c r="D149" s="72" t="s">
        <v>13</v>
      </c>
      <c r="E149" s="2" t="s">
        <v>283</v>
      </c>
      <c r="F149" s="2"/>
      <c r="G149" s="2"/>
      <c r="H149" s="2"/>
      <c r="J149" s="2"/>
      <c r="K149" s="23"/>
      <c r="L149" s="2"/>
      <c r="M149" s="2"/>
    </row>
    <row r="150" spans="2:13" ht="13.95" customHeight="1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2:13" ht="13.95" customHeight="1" x14ac:dyDescent="0.25">
      <c r="B151" s="2"/>
      <c r="C151" s="2"/>
      <c r="D151" s="72" t="s">
        <v>16</v>
      </c>
      <c r="E151" s="2" t="s">
        <v>282</v>
      </c>
      <c r="F151" s="2"/>
      <c r="G151" s="2"/>
      <c r="H151" s="2"/>
      <c r="I151" s="2"/>
      <c r="J151" s="2"/>
      <c r="K151" s="23"/>
      <c r="L151" s="2"/>
      <c r="M151" s="2"/>
    </row>
    <row r="152" spans="2:13" ht="13.95" customHeight="1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2:13" ht="13.95" customHeight="1" x14ac:dyDescent="0.25">
      <c r="B153" s="2"/>
      <c r="C153" s="2"/>
      <c r="D153" s="72" t="s">
        <v>212</v>
      </c>
      <c r="E153" s="2" t="s">
        <v>281</v>
      </c>
      <c r="F153" s="2"/>
      <c r="G153" s="2"/>
      <c r="H153" s="2"/>
      <c r="I153" s="2"/>
      <c r="J153" s="2"/>
      <c r="K153" s="23"/>
      <c r="L153" s="2"/>
      <c r="M153" s="2"/>
    </row>
    <row r="154" spans="2:13" ht="13.95" customHeight="1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2:13" ht="13.95" customHeight="1" x14ac:dyDescent="0.25">
      <c r="B155" s="2"/>
      <c r="C155" s="2"/>
      <c r="D155" s="72" t="s">
        <v>213</v>
      </c>
      <c r="E155" s="2" t="s">
        <v>284</v>
      </c>
      <c r="F155" s="2"/>
      <c r="G155" s="2"/>
      <c r="H155" s="2"/>
      <c r="I155" s="2"/>
      <c r="J155" s="2"/>
      <c r="K155" s="87">
        <f>ДоговораГПХ!D47</f>
        <v>250000</v>
      </c>
      <c r="L155" s="2"/>
      <c r="M155" s="2"/>
    </row>
    <row r="156" spans="2:13" ht="13.95" customHeight="1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2:13" ht="13.95" customHeight="1" x14ac:dyDescent="0.25">
      <c r="B157" s="78" t="s">
        <v>53</v>
      </c>
      <c r="C157" s="298" t="s">
        <v>285</v>
      </c>
      <c r="D157" s="298"/>
      <c r="E157" s="298"/>
      <c r="F157" s="298"/>
      <c r="G157" s="298"/>
      <c r="H157" s="298"/>
      <c r="I157" s="298"/>
      <c r="J157" s="2"/>
      <c r="K157" s="23"/>
      <c r="L157" s="2"/>
      <c r="M157" s="2"/>
    </row>
    <row r="158" spans="2:13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2:13" x14ac:dyDescent="0.25">
      <c r="B159" s="78" t="s">
        <v>55</v>
      </c>
      <c r="C159" s="2"/>
      <c r="D159" s="2" t="s">
        <v>54</v>
      </c>
      <c r="E159" s="2"/>
      <c r="F159" s="2"/>
      <c r="G159" s="2"/>
      <c r="H159" s="2"/>
      <c r="I159" s="2"/>
      <c r="J159" s="2"/>
      <c r="K159" s="2"/>
      <c r="L159" s="2"/>
      <c r="M159" s="2"/>
    </row>
    <row r="160" spans="2:13" x14ac:dyDescent="0.25">
      <c r="B160" s="84"/>
      <c r="C160" s="2" t="s">
        <v>18</v>
      </c>
      <c r="D160" s="81" t="s">
        <v>31</v>
      </c>
      <c r="E160" s="76">
        <f>РегистрИПН!Q14+ДоговораГПХ!T8+регистр200.02!AF8</f>
        <v>0</v>
      </c>
      <c r="F160" s="2"/>
      <c r="G160" s="2" t="s">
        <v>20</v>
      </c>
      <c r="J160" s="85" t="s">
        <v>35</v>
      </c>
      <c r="K160" s="76">
        <f>РегистрИПН!J40+ДоговораГПХ!T34+регистр200.02!AF18</f>
        <v>0</v>
      </c>
      <c r="L160" s="2"/>
      <c r="M160" s="2"/>
    </row>
    <row r="161" spans="1:13" x14ac:dyDescent="0.25">
      <c r="B161" s="82"/>
      <c r="C161" s="2"/>
      <c r="D161" s="8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x14ac:dyDescent="0.25">
      <c r="B162" s="84"/>
      <c r="C162" s="2" t="s">
        <v>19</v>
      </c>
      <c r="D162" s="81" t="s">
        <v>34</v>
      </c>
      <c r="E162" s="76">
        <f>РегистрИПН!Q27+ДоговораГПХ!T21+регистр200.02!AF13</f>
        <v>25000</v>
      </c>
      <c r="F162" s="2"/>
      <c r="G162" s="2" t="s">
        <v>32</v>
      </c>
      <c r="J162" s="72" t="s">
        <v>33</v>
      </c>
      <c r="K162" s="76">
        <f>K160+E162+E160</f>
        <v>25000</v>
      </c>
      <c r="L162" s="2"/>
      <c r="M162" s="2"/>
    </row>
    <row r="163" spans="1:13" x14ac:dyDescent="0.25">
      <c r="B163" s="84"/>
      <c r="C163" s="2"/>
      <c r="D163" s="84"/>
      <c r="E163" s="2"/>
      <c r="F163" s="2"/>
      <c r="G163" s="2"/>
      <c r="H163" s="73"/>
      <c r="I163" s="2"/>
      <c r="J163" s="2"/>
      <c r="K163" s="2"/>
      <c r="L163" s="2"/>
      <c r="M163" s="2"/>
    </row>
    <row r="164" spans="1:13" ht="18" customHeight="1" x14ac:dyDescent="0.25">
      <c r="B164" s="78" t="s">
        <v>57</v>
      </c>
      <c r="C164" s="2"/>
      <c r="D164" s="2" t="s">
        <v>56</v>
      </c>
      <c r="E164" s="2"/>
      <c r="F164" s="2"/>
      <c r="G164" s="2"/>
      <c r="H164" s="2"/>
      <c r="J164" s="2"/>
      <c r="K164" s="198">
        <f>РегистрИПН!N54+ДоговораГПХ!W34+регистр200.02!AJ18</f>
        <v>0</v>
      </c>
      <c r="L164" s="2"/>
      <c r="M164" s="2"/>
    </row>
    <row r="166" spans="1:13" ht="27.75" customHeight="1" x14ac:dyDescent="0.25">
      <c r="B166" s="88" t="s">
        <v>59</v>
      </c>
      <c r="C166" s="89"/>
      <c r="D166" s="299" t="s">
        <v>58</v>
      </c>
      <c r="E166" s="299"/>
      <c r="F166" s="299"/>
      <c r="G166" s="299"/>
      <c r="H166" s="299"/>
      <c r="I166" s="299"/>
      <c r="J166" s="89"/>
      <c r="K166" s="198">
        <f>РегистрИПН!P54+ДоговораГПХ!Y8+регистр200.02!AL8</f>
        <v>0</v>
      </c>
    </row>
    <row r="168" spans="1:13" ht="27" customHeight="1" x14ac:dyDescent="0.25">
      <c r="A168" s="2"/>
      <c r="B168" s="90" t="s">
        <v>61</v>
      </c>
      <c r="C168" s="2"/>
      <c r="D168" s="297" t="s">
        <v>60</v>
      </c>
      <c r="E168" s="297"/>
      <c r="F168" s="297"/>
      <c r="G168" s="297"/>
      <c r="H168" s="297"/>
      <c r="I168" s="297"/>
      <c r="J168" s="2"/>
      <c r="K168" s="198">
        <f>РегистрИПН!S54+ДоговораГПХ!AB34+регистр200.02!AL18+регистр200.02!AF18-регистр200.02!AM18</f>
        <v>0</v>
      </c>
      <c r="L168" s="2"/>
    </row>
    <row r="170" spans="1:13" x14ac:dyDescent="0.25">
      <c r="A170" s="2"/>
      <c r="B170" s="78" t="s">
        <v>64</v>
      </c>
      <c r="C170" s="2"/>
      <c r="D170" s="2" t="s">
        <v>62</v>
      </c>
      <c r="E170" s="2"/>
      <c r="F170" s="2"/>
      <c r="G170" s="2"/>
      <c r="H170" s="2"/>
      <c r="I170" s="2"/>
      <c r="J170" s="2"/>
      <c r="K170" s="2"/>
      <c r="L170" s="2"/>
      <c r="M170" s="2"/>
    </row>
    <row r="171" spans="1:13" x14ac:dyDescent="0.25">
      <c r="A171" s="2"/>
      <c r="B171" s="84"/>
      <c r="C171" s="2" t="s">
        <v>18</v>
      </c>
      <c r="D171" s="81" t="s">
        <v>31</v>
      </c>
      <c r="E171" s="76">
        <f>РегистрИПН!M14+ДоговораГПХ!V8+регистр200.02!AI8</f>
        <v>0</v>
      </c>
      <c r="F171" s="2"/>
      <c r="G171" s="2" t="s">
        <v>20</v>
      </c>
      <c r="J171" s="85" t="s">
        <v>35</v>
      </c>
      <c r="K171" s="76">
        <f>РегистрИПН!M40+ДоговораГПХ!V34+регистр200.02!AI18</f>
        <v>0</v>
      </c>
      <c r="L171" s="2"/>
      <c r="M171" s="2"/>
    </row>
    <row r="172" spans="1:13" x14ac:dyDescent="0.25">
      <c r="A172" s="2"/>
      <c r="B172" s="82"/>
      <c r="C172" s="2"/>
      <c r="D172" s="8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x14ac:dyDescent="0.25">
      <c r="A173" s="2"/>
      <c r="B173" s="84"/>
      <c r="C173" s="2" t="s">
        <v>19</v>
      </c>
      <c r="D173" s="81" t="s">
        <v>34</v>
      </c>
      <c r="E173" s="76">
        <f>РегистрИПН!M27+ДоговораГПХ!V21+регистр200.02!AI13</f>
        <v>225000</v>
      </c>
      <c r="F173" s="2"/>
      <c r="G173" s="2" t="s">
        <v>32</v>
      </c>
      <c r="J173" s="72" t="s">
        <v>33</v>
      </c>
      <c r="K173" s="76">
        <f>K171+E173+E171</f>
        <v>225000</v>
      </c>
      <c r="L173" s="2"/>
      <c r="M173" s="2"/>
    </row>
    <row r="174" spans="1:13" x14ac:dyDescent="0.25">
      <c r="A174" s="2"/>
      <c r="B174" s="84"/>
      <c r="C174" s="2"/>
      <c r="D174" s="84"/>
      <c r="E174" s="2"/>
      <c r="F174" s="2"/>
      <c r="G174" s="2"/>
      <c r="H174" s="73"/>
      <c r="I174" s="2"/>
      <c r="J174" s="2"/>
      <c r="K174" s="2"/>
      <c r="L174" s="2"/>
      <c r="M174" s="2"/>
    </row>
    <row r="175" spans="1:13" x14ac:dyDescent="0.25">
      <c r="A175" s="2"/>
      <c r="B175" s="78" t="s">
        <v>66</v>
      </c>
      <c r="C175" s="2"/>
      <c r="D175" s="2" t="s">
        <v>286</v>
      </c>
      <c r="E175" s="2"/>
      <c r="F175" s="2"/>
      <c r="G175" s="2"/>
      <c r="H175" s="2"/>
      <c r="I175" s="2"/>
      <c r="J175" s="2"/>
      <c r="K175" s="2"/>
      <c r="L175" s="2"/>
      <c r="M175" s="2"/>
    </row>
    <row r="176" spans="1:13" x14ac:dyDescent="0.25">
      <c r="A176" s="2"/>
      <c r="B176" s="84"/>
      <c r="C176" s="2" t="s">
        <v>18</v>
      </c>
      <c r="D176" s="81" t="s">
        <v>31</v>
      </c>
      <c r="E176" s="76">
        <f>РегистрИПН!I14+ДоговораГПХ!S8+регистр200.02!AE8</f>
        <v>0</v>
      </c>
      <c r="F176" s="2"/>
      <c r="G176" s="2" t="s">
        <v>20</v>
      </c>
      <c r="J176" s="85" t="s">
        <v>35</v>
      </c>
      <c r="K176" s="76">
        <f>РегистрИПН!I40+ДоговораГПХ!S34+регистр200.02!AE18</f>
        <v>0</v>
      </c>
      <c r="L176" s="2"/>
      <c r="M176" s="2"/>
    </row>
    <row r="177" spans="1:13" x14ac:dyDescent="0.25">
      <c r="A177" s="2"/>
      <c r="B177" s="82"/>
      <c r="C177" s="2"/>
      <c r="D177" s="8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x14ac:dyDescent="0.25">
      <c r="A178" s="2"/>
      <c r="B178" s="84"/>
      <c r="C178" s="2" t="s">
        <v>19</v>
      </c>
      <c r="D178" s="81" t="s">
        <v>34</v>
      </c>
      <c r="E178" s="76">
        <f>РегистрИПН!I27+ДоговораГПХ!S21+регистр200.02!AE13</f>
        <v>250000</v>
      </c>
      <c r="F178" s="2"/>
      <c r="G178" s="2" t="s">
        <v>32</v>
      </c>
      <c r="J178" s="72" t="s">
        <v>33</v>
      </c>
      <c r="K178" s="76">
        <f>K176+E178+E176</f>
        <v>250000</v>
      </c>
      <c r="L178" s="2"/>
      <c r="M178" s="2"/>
    </row>
    <row r="179" spans="1:13" x14ac:dyDescent="0.25">
      <c r="A179" s="2"/>
      <c r="B179" s="84"/>
      <c r="C179" s="2"/>
      <c r="D179" s="84"/>
      <c r="E179" s="2"/>
      <c r="F179" s="2"/>
      <c r="G179" s="2"/>
      <c r="H179" s="73"/>
      <c r="I179" s="2"/>
      <c r="J179" s="2"/>
      <c r="K179" s="2"/>
      <c r="L179" s="2"/>
      <c r="M179" s="2"/>
    </row>
    <row r="180" spans="1:13" x14ac:dyDescent="0.25">
      <c r="A180" s="295" t="s">
        <v>63</v>
      </c>
      <c r="B180" s="295"/>
      <c r="C180" s="295"/>
      <c r="D180" s="295"/>
      <c r="E180" s="295"/>
      <c r="F180" s="295"/>
      <c r="G180" s="295"/>
      <c r="H180" s="295"/>
      <c r="I180" s="295"/>
      <c r="J180" s="295"/>
      <c r="K180" s="295"/>
      <c r="L180" s="295"/>
      <c r="M180" s="295"/>
    </row>
    <row r="182" spans="1:13" x14ac:dyDescent="0.25">
      <c r="A182" s="2"/>
      <c r="B182" s="78" t="s">
        <v>68</v>
      </c>
      <c r="C182" s="2"/>
      <c r="D182" s="2" t="s">
        <v>65</v>
      </c>
      <c r="E182" s="2"/>
      <c r="F182" s="2"/>
      <c r="G182" s="2"/>
      <c r="H182" s="2"/>
      <c r="I182" s="2"/>
      <c r="J182" s="2"/>
      <c r="K182" s="2"/>
      <c r="L182" s="2"/>
      <c r="M182" s="2"/>
    </row>
    <row r="183" spans="1:13" x14ac:dyDescent="0.25">
      <c r="A183" s="2"/>
      <c r="B183" s="84"/>
      <c r="C183" s="2" t="s">
        <v>18</v>
      </c>
      <c r="D183" s="81" t="s">
        <v>31</v>
      </c>
      <c r="E183" s="76">
        <f>РегистрОПВ!H13+ДоговораГПХ!G8+регистр200.02!Y8*10</f>
        <v>0</v>
      </c>
      <c r="F183" s="2"/>
      <c r="G183" s="2" t="s">
        <v>20</v>
      </c>
      <c r="J183" s="85" t="s">
        <v>35</v>
      </c>
      <c r="K183" s="76">
        <f>РегистрОПВ!H39+ДоговораГПХ!G34+регистр200.02!Y18*10</f>
        <v>0</v>
      </c>
      <c r="L183" s="2"/>
      <c r="M183" s="2"/>
    </row>
    <row r="184" spans="1:13" x14ac:dyDescent="0.25">
      <c r="A184" s="2"/>
      <c r="B184" s="82"/>
      <c r="C184" s="2"/>
      <c r="D184" s="8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x14ac:dyDescent="0.25">
      <c r="A185" s="2"/>
      <c r="B185" s="84"/>
      <c r="C185" s="2" t="s">
        <v>19</v>
      </c>
      <c r="D185" s="81" t="s">
        <v>34</v>
      </c>
      <c r="E185" s="76">
        <f>РегистрОПВ!H26+ДоговораГПХ!G21+регистр200.02!Y13*10</f>
        <v>0</v>
      </c>
      <c r="F185" s="2"/>
      <c r="G185" s="2" t="s">
        <v>32</v>
      </c>
      <c r="J185" s="72" t="s">
        <v>33</v>
      </c>
      <c r="K185" s="76">
        <f>K183+E185+E183</f>
        <v>0</v>
      </c>
      <c r="L185" s="2"/>
      <c r="M185" s="2"/>
    </row>
    <row r="186" spans="1:13" x14ac:dyDescent="0.25">
      <c r="A186" s="2"/>
      <c r="B186" s="84"/>
      <c r="C186" s="2"/>
      <c r="D186" s="84"/>
      <c r="E186" s="2"/>
      <c r="F186" s="2"/>
      <c r="G186" s="2"/>
      <c r="H186" s="73"/>
      <c r="I186" s="2"/>
      <c r="J186" s="2"/>
      <c r="K186" s="2"/>
      <c r="L186" s="2"/>
      <c r="M186" s="2"/>
    </row>
    <row r="187" spans="1:13" x14ac:dyDescent="0.25">
      <c r="A187" s="2"/>
      <c r="B187" s="78" t="s">
        <v>70</v>
      </c>
      <c r="C187" s="2"/>
      <c r="D187" s="2" t="s">
        <v>67</v>
      </c>
      <c r="E187" s="2"/>
      <c r="F187" s="2"/>
      <c r="G187" s="2"/>
      <c r="H187" s="2"/>
      <c r="I187" s="2"/>
      <c r="J187" s="2"/>
      <c r="K187" s="2"/>
      <c r="L187" s="2"/>
      <c r="M187" s="2"/>
    </row>
    <row r="188" spans="1:13" x14ac:dyDescent="0.25">
      <c r="A188" s="2"/>
      <c r="B188" s="84"/>
      <c r="C188" s="2" t="s">
        <v>18</v>
      </c>
      <c r="D188" s="81" t="s">
        <v>31</v>
      </c>
      <c r="E188" s="274"/>
      <c r="F188" s="2"/>
      <c r="G188" s="2" t="s">
        <v>20</v>
      </c>
      <c r="J188" s="85" t="s">
        <v>35</v>
      </c>
      <c r="K188" s="274"/>
      <c r="L188" s="2"/>
      <c r="M188" s="2"/>
    </row>
    <row r="189" spans="1:13" x14ac:dyDescent="0.25">
      <c r="A189" s="2"/>
      <c r="B189" s="82"/>
      <c r="C189" s="2"/>
      <c r="D189" s="8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x14ac:dyDescent="0.25">
      <c r="A190" s="2"/>
      <c r="B190" s="84"/>
      <c r="C190" s="2" t="s">
        <v>19</v>
      </c>
      <c r="D190" s="81" t="s">
        <v>34</v>
      </c>
      <c r="E190" s="274"/>
      <c r="F190" s="2"/>
      <c r="G190" s="2" t="s">
        <v>32</v>
      </c>
      <c r="J190" s="72" t="s">
        <v>33</v>
      </c>
      <c r="K190" s="76">
        <f>K188+E190+E188</f>
        <v>0</v>
      </c>
      <c r="L190" s="2"/>
      <c r="M190" s="2"/>
    </row>
    <row r="191" spans="1:13" x14ac:dyDescent="0.25">
      <c r="A191" s="2"/>
      <c r="B191" s="84"/>
      <c r="C191" s="2"/>
      <c r="D191" s="84"/>
      <c r="E191" s="2"/>
      <c r="F191" s="2"/>
      <c r="G191" s="2"/>
      <c r="H191" s="73"/>
      <c r="I191" s="2"/>
      <c r="J191" s="2"/>
      <c r="K191" s="2"/>
      <c r="L191" s="2"/>
      <c r="M191" s="2"/>
    </row>
    <row r="192" spans="1:13" x14ac:dyDescent="0.25">
      <c r="A192" s="2"/>
      <c r="B192" s="78" t="s">
        <v>72</v>
      </c>
      <c r="C192" s="2"/>
      <c r="D192" s="2" t="s">
        <v>452</v>
      </c>
      <c r="E192" s="2"/>
      <c r="F192" s="2"/>
      <c r="G192" s="2"/>
      <c r="H192" s="2"/>
      <c r="I192" s="2"/>
      <c r="J192" s="2"/>
      <c r="K192" s="2"/>
      <c r="L192" s="2"/>
      <c r="M192" s="2"/>
    </row>
    <row r="193" spans="1:13" x14ac:dyDescent="0.25">
      <c r="A193" s="2"/>
      <c r="B193" s="84"/>
      <c r="C193" s="2" t="s">
        <v>18</v>
      </c>
      <c r="D193" s="81" t="s">
        <v>31</v>
      </c>
      <c r="E193" s="284"/>
      <c r="F193" s="2"/>
      <c r="G193" s="2" t="s">
        <v>20</v>
      </c>
      <c r="J193" s="85" t="s">
        <v>35</v>
      </c>
      <c r="K193" s="284"/>
      <c r="L193" s="2"/>
      <c r="M193" s="2"/>
    </row>
    <row r="194" spans="1:13" x14ac:dyDescent="0.25">
      <c r="A194" s="2"/>
      <c r="B194" s="82"/>
      <c r="C194" s="2"/>
      <c r="D194" s="82"/>
      <c r="E194" s="75"/>
      <c r="F194" s="2"/>
      <c r="G194" s="2"/>
      <c r="H194" s="2"/>
      <c r="I194" s="2"/>
      <c r="J194" s="2"/>
      <c r="K194" s="2"/>
      <c r="L194" s="2"/>
      <c r="M194" s="2"/>
    </row>
    <row r="195" spans="1:13" x14ac:dyDescent="0.25">
      <c r="A195" s="2"/>
      <c r="B195" s="84"/>
      <c r="C195" s="2" t="s">
        <v>19</v>
      </c>
      <c r="D195" s="81" t="s">
        <v>34</v>
      </c>
      <c r="E195" s="284"/>
      <c r="F195" s="2"/>
      <c r="G195" s="2" t="s">
        <v>32</v>
      </c>
      <c r="J195" s="72" t="s">
        <v>33</v>
      </c>
      <c r="K195" s="76">
        <f>K193+E195+E193</f>
        <v>0</v>
      </c>
      <c r="L195" s="2"/>
      <c r="M195" s="2"/>
    </row>
    <row r="196" spans="1:13" x14ac:dyDescent="0.25">
      <c r="A196" s="2"/>
      <c r="B196" s="84"/>
      <c r="C196" s="2"/>
      <c r="D196" s="84"/>
      <c r="E196" s="2"/>
      <c r="F196" s="2"/>
      <c r="G196" s="2"/>
      <c r="H196" s="73"/>
      <c r="I196" s="2"/>
      <c r="J196" s="2"/>
      <c r="K196" s="2"/>
      <c r="L196" s="2"/>
      <c r="M196" s="2"/>
    </row>
    <row r="197" spans="1:13" x14ac:dyDescent="0.25">
      <c r="A197" s="2"/>
      <c r="B197" s="78" t="s">
        <v>73</v>
      </c>
      <c r="C197" s="2"/>
      <c r="D197" s="2" t="s">
        <v>69</v>
      </c>
      <c r="E197" s="2"/>
      <c r="F197" s="2"/>
      <c r="G197" s="2"/>
      <c r="H197" s="2"/>
      <c r="I197" s="2"/>
      <c r="J197" s="2"/>
      <c r="K197" s="2"/>
      <c r="L197" s="2"/>
      <c r="M197" s="2"/>
    </row>
    <row r="198" spans="1:13" x14ac:dyDescent="0.25">
      <c r="A198" s="2"/>
      <c r="B198" s="84"/>
      <c r="C198" s="2" t="s">
        <v>18</v>
      </c>
      <c r="D198" s="81" t="s">
        <v>31</v>
      </c>
      <c r="E198" s="287"/>
      <c r="F198" s="2"/>
      <c r="G198" s="2" t="s">
        <v>20</v>
      </c>
      <c r="J198" s="85" t="s">
        <v>35</v>
      </c>
      <c r="K198" s="287"/>
      <c r="L198" s="2"/>
      <c r="M198" s="2"/>
    </row>
    <row r="199" spans="1:13" x14ac:dyDescent="0.25">
      <c r="A199" s="2"/>
      <c r="B199" s="82"/>
      <c r="C199" s="2"/>
      <c r="D199" s="8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x14ac:dyDescent="0.25">
      <c r="A200" s="2"/>
      <c r="B200" s="84"/>
      <c r="C200" s="2" t="s">
        <v>19</v>
      </c>
      <c r="D200" s="81" t="s">
        <v>34</v>
      </c>
      <c r="E200" s="287"/>
      <c r="F200" s="2"/>
      <c r="G200" s="2" t="s">
        <v>32</v>
      </c>
      <c r="J200" s="72" t="s">
        <v>33</v>
      </c>
      <c r="K200" s="76">
        <f>E198+E200+K198</f>
        <v>0</v>
      </c>
      <c r="L200" s="2"/>
      <c r="M200" s="2"/>
    </row>
    <row r="201" spans="1:13" x14ac:dyDescent="0.25">
      <c r="A201" s="2"/>
      <c r="B201" s="84"/>
      <c r="C201" s="2"/>
      <c r="D201" s="84"/>
      <c r="E201" s="2"/>
      <c r="F201" s="2"/>
      <c r="G201" s="2"/>
      <c r="H201" s="73"/>
      <c r="I201" s="2"/>
      <c r="J201" s="2"/>
      <c r="K201" s="2"/>
      <c r="L201" s="2"/>
      <c r="M201" s="2"/>
    </row>
    <row r="202" spans="1:13" x14ac:dyDescent="0.25">
      <c r="A202" s="295" t="s">
        <v>420</v>
      </c>
      <c r="B202" s="295"/>
      <c r="C202" s="295"/>
      <c r="D202" s="295"/>
      <c r="E202" s="295"/>
      <c r="F202" s="295"/>
      <c r="G202" s="295"/>
      <c r="H202" s="295"/>
      <c r="I202" s="295"/>
      <c r="J202" s="295"/>
      <c r="K202" s="295"/>
      <c r="L202" s="295"/>
      <c r="M202" s="295"/>
    </row>
    <row r="204" spans="1:13" x14ac:dyDescent="0.25">
      <c r="A204" s="2"/>
      <c r="B204" s="78" t="s">
        <v>74</v>
      </c>
      <c r="C204" s="2"/>
      <c r="D204" s="2" t="s">
        <v>421</v>
      </c>
      <c r="E204" s="2"/>
      <c r="F204" s="2"/>
      <c r="G204" s="2"/>
      <c r="H204" s="2"/>
      <c r="I204" s="2"/>
      <c r="J204" s="2"/>
      <c r="K204" s="2"/>
      <c r="L204" s="2"/>
      <c r="M204" s="2"/>
    </row>
    <row r="205" spans="1:13" x14ac:dyDescent="0.25">
      <c r="A205" s="2"/>
      <c r="B205" s="2"/>
      <c r="C205" s="75" t="s">
        <v>18</v>
      </c>
      <c r="D205" s="81" t="s">
        <v>31</v>
      </c>
      <c r="E205" s="272">
        <v>0</v>
      </c>
      <c r="F205" s="2"/>
      <c r="G205" s="75" t="s">
        <v>71</v>
      </c>
      <c r="H205" s="81" t="s">
        <v>34</v>
      </c>
      <c r="I205" s="272">
        <v>0</v>
      </c>
      <c r="J205" s="2"/>
      <c r="K205" s="75" t="s">
        <v>20</v>
      </c>
      <c r="L205" s="85" t="s">
        <v>35</v>
      </c>
      <c r="M205" s="272">
        <v>0</v>
      </c>
    </row>
    <row r="207" spans="1:13" x14ac:dyDescent="0.25">
      <c r="A207" s="2"/>
      <c r="B207" s="78" t="s">
        <v>77</v>
      </c>
      <c r="C207" s="2"/>
      <c r="D207" s="2" t="s">
        <v>422</v>
      </c>
      <c r="E207" s="2"/>
      <c r="F207" s="2"/>
      <c r="G207" s="2"/>
      <c r="H207" s="2"/>
      <c r="I207" s="2"/>
      <c r="J207" s="2"/>
      <c r="K207" s="2"/>
      <c r="L207" s="2"/>
      <c r="M207" s="2"/>
    </row>
    <row r="208" spans="1:13" x14ac:dyDescent="0.25">
      <c r="A208" s="2"/>
      <c r="B208" s="2"/>
      <c r="C208" s="75" t="s">
        <v>18</v>
      </c>
      <c r="D208" s="81" t="s">
        <v>31</v>
      </c>
      <c r="E208" s="272">
        <v>0</v>
      </c>
      <c r="F208" s="2"/>
      <c r="G208" s="75" t="s">
        <v>71</v>
      </c>
      <c r="H208" s="81" t="s">
        <v>34</v>
      </c>
      <c r="I208" s="272">
        <v>0</v>
      </c>
      <c r="J208" s="2"/>
      <c r="K208" s="75" t="s">
        <v>20</v>
      </c>
      <c r="L208" s="85" t="s">
        <v>35</v>
      </c>
      <c r="M208" s="272">
        <v>0</v>
      </c>
    </row>
    <row r="210" spans="1:13" x14ac:dyDescent="0.25">
      <c r="A210" s="2"/>
      <c r="B210" s="78" t="s">
        <v>79</v>
      </c>
      <c r="C210" s="2"/>
      <c r="D210" s="2" t="s">
        <v>423</v>
      </c>
      <c r="E210" s="2"/>
      <c r="F210" s="2"/>
      <c r="G210" s="2"/>
      <c r="H210" s="2"/>
      <c r="I210" s="2"/>
      <c r="J210" s="2"/>
      <c r="K210" s="2"/>
      <c r="L210" s="2"/>
      <c r="M210" s="2"/>
    </row>
    <row r="211" spans="1:13" x14ac:dyDescent="0.25">
      <c r="A211" s="2"/>
      <c r="B211" s="2"/>
      <c r="C211" s="75" t="s">
        <v>18</v>
      </c>
      <c r="D211" s="81" t="s">
        <v>31</v>
      </c>
      <c r="E211" s="272">
        <v>0</v>
      </c>
      <c r="F211" s="2"/>
      <c r="G211" s="75" t="s">
        <v>71</v>
      </c>
      <c r="H211" s="81" t="s">
        <v>34</v>
      </c>
      <c r="I211" s="272">
        <v>0</v>
      </c>
      <c r="J211" s="2"/>
      <c r="K211" s="75" t="s">
        <v>20</v>
      </c>
      <c r="L211" s="85" t="s">
        <v>35</v>
      </c>
      <c r="M211" s="272">
        <v>0</v>
      </c>
    </row>
    <row r="213" spans="1:13" x14ac:dyDescent="0.25">
      <c r="A213" s="295" t="s">
        <v>204</v>
      </c>
      <c r="B213" s="295"/>
      <c r="C213" s="295"/>
      <c r="D213" s="295"/>
      <c r="E213" s="295"/>
      <c r="F213" s="295"/>
      <c r="G213" s="295"/>
      <c r="H213" s="295"/>
      <c r="I213" s="295"/>
      <c r="J213" s="295"/>
      <c r="K213" s="295"/>
      <c r="L213" s="295"/>
      <c r="M213" s="295"/>
    </row>
    <row r="215" spans="1:13" x14ac:dyDescent="0.25">
      <c r="A215" s="2"/>
      <c r="B215" s="78" t="s">
        <v>182</v>
      </c>
      <c r="C215" s="2"/>
      <c r="D215" s="2" t="s">
        <v>75</v>
      </c>
      <c r="E215" s="2"/>
      <c r="F215" s="2"/>
      <c r="G215" s="2"/>
      <c r="H215" s="2"/>
      <c r="I215" s="2"/>
      <c r="J215" s="2"/>
      <c r="K215" s="2"/>
      <c r="L215" s="2"/>
      <c r="M215" s="2"/>
    </row>
    <row r="216" spans="1:13" x14ac:dyDescent="0.25">
      <c r="A216" s="2"/>
      <c r="B216" s="2"/>
      <c r="C216" s="2" t="s">
        <v>18</v>
      </c>
      <c r="D216" s="81" t="s">
        <v>31</v>
      </c>
      <c r="E216" s="76">
        <f>РегистрСН!H14+регистр200.02!AO8</f>
        <v>0</v>
      </c>
      <c r="F216" s="2"/>
      <c r="G216" s="2" t="s">
        <v>32</v>
      </c>
      <c r="J216" s="72" t="s">
        <v>33</v>
      </c>
      <c r="K216" s="76">
        <f>E220+E218+E216</f>
        <v>0</v>
      </c>
      <c r="L216" s="2"/>
      <c r="M216" s="2"/>
    </row>
    <row r="217" spans="1:13" x14ac:dyDescent="0.25">
      <c r="A217" s="2"/>
      <c r="B217" s="2"/>
      <c r="C217" s="2"/>
      <c r="D217" s="8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x14ac:dyDescent="0.25">
      <c r="A218" s="2"/>
      <c r="B218" s="2"/>
      <c r="C218" s="2" t="s">
        <v>19</v>
      </c>
      <c r="D218" s="81" t="s">
        <v>34</v>
      </c>
      <c r="E218" s="76">
        <f>РегистрСН!H27+регистр200.02!AO13</f>
        <v>0</v>
      </c>
      <c r="F218" s="2"/>
      <c r="G218" s="2"/>
      <c r="H218" s="2"/>
      <c r="I218" s="2"/>
      <c r="J218" s="2"/>
      <c r="K218" s="2"/>
      <c r="L218" s="2"/>
      <c r="M218" s="2"/>
    </row>
    <row r="219" spans="1:13" x14ac:dyDescent="0.25">
      <c r="A219" s="2"/>
      <c r="B219" s="2"/>
      <c r="C219" s="2"/>
      <c r="D219" s="8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x14ac:dyDescent="0.25">
      <c r="A220" s="2"/>
      <c r="B220" s="2"/>
      <c r="C220" s="2" t="s">
        <v>20</v>
      </c>
      <c r="D220" s="81" t="s">
        <v>35</v>
      </c>
      <c r="E220" s="76">
        <f>РегистрСН!H40+регистр200.02!AO18</f>
        <v>0</v>
      </c>
      <c r="F220" s="2"/>
      <c r="G220" s="2"/>
      <c r="H220" s="2"/>
      <c r="I220" s="2"/>
      <c r="J220" s="2"/>
      <c r="K220" s="2"/>
      <c r="L220" s="2"/>
      <c r="M220" s="2"/>
    </row>
    <row r="222" spans="1:13" x14ac:dyDescent="0.25">
      <c r="A222" s="295" t="s">
        <v>76</v>
      </c>
      <c r="B222" s="295"/>
      <c r="C222" s="295"/>
      <c r="D222" s="295"/>
      <c r="E222" s="295"/>
      <c r="F222" s="295"/>
      <c r="G222" s="295"/>
      <c r="H222" s="295"/>
      <c r="I222" s="295"/>
      <c r="J222" s="295"/>
      <c r="K222" s="295"/>
      <c r="L222" s="295"/>
      <c r="M222" s="295"/>
    </row>
    <row r="224" spans="1:13" x14ac:dyDescent="0.25">
      <c r="A224" s="2"/>
      <c r="B224" s="78" t="s">
        <v>183</v>
      </c>
      <c r="C224" s="2"/>
      <c r="D224" s="2" t="s">
        <v>78</v>
      </c>
      <c r="E224" s="2"/>
      <c r="F224" s="2"/>
      <c r="G224" s="2"/>
      <c r="H224" s="2"/>
      <c r="I224" s="2"/>
      <c r="J224" s="2"/>
      <c r="K224" s="2"/>
      <c r="L224" s="2"/>
      <c r="M224" s="2"/>
    </row>
    <row r="225" spans="1:14" x14ac:dyDescent="0.25">
      <c r="B225" s="2"/>
      <c r="C225" s="2" t="s">
        <v>18</v>
      </c>
      <c r="D225" s="81" t="s">
        <v>31</v>
      </c>
      <c r="E225" s="76">
        <f>'РегистрСО ОСМС'!H14+регистр200.02!AR8</f>
        <v>0</v>
      </c>
      <c r="F225" s="2"/>
      <c r="G225" s="2" t="s">
        <v>32</v>
      </c>
      <c r="J225" s="72" t="s">
        <v>33</v>
      </c>
      <c r="K225" s="76">
        <f>E229+E227+E225</f>
        <v>0</v>
      </c>
    </row>
    <row r="226" spans="1:14" x14ac:dyDescent="0.25">
      <c r="B226" s="2"/>
      <c r="C226" s="2"/>
      <c r="D226" s="82"/>
      <c r="E226" s="2"/>
      <c r="F226" s="2"/>
      <c r="G226" s="2"/>
      <c r="H226" s="2"/>
      <c r="I226" s="2"/>
    </row>
    <row r="227" spans="1:14" x14ac:dyDescent="0.25">
      <c r="B227" s="2"/>
      <c r="C227" s="2" t="s">
        <v>19</v>
      </c>
      <c r="D227" s="81" t="s">
        <v>34</v>
      </c>
      <c r="E227" s="76">
        <f>'РегистрСО ОСМС'!H27+регистр200.02!AR13</f>
        <v>0</v>
      </c>
      <c r="F227" s="2"/>
      <c r="G227" s="2"/>
      <c r="H227" s="2"/>
      <c r="I227" s="2"/>
    </row>
    <row r="228" spans="1:14" x14ac:dyDescent="0.25">
      <c r="B228" s="2"/>
      <c r="C228" s="2"/>
      <c r="D228" s="82"/>
      <c r="E228" s="2"/>
      <c r="F228" s="2"/>
      <c r="G228" s="2"/>
      <c r="H228" s="2"/>
      <c r="I228" s="2"/>
    </row>
    <row r="229" spans="1:14" x14ac:dyDescent="0.25">
      <c r="B229" s="2"/>
      <c r="C229" s="2" t="s">
        <v>20</v>
      </c>
      <c r="D229" s="81" t="s">
        <v>35</v>
      </c>
      <c r="E229" s="76">
        <f>'РегистрСО ОСМС'!H40+регистр200.02!AR18</f>
        <v>0</v>
      </c>
      <c r="F229" s="2"/>
      <c r="G229" s="2"/>
      <c r="H229" s="2"/>
      <c r="I229" s="2"/>
    </row>
    <row r="231" spans="1:14" x14ac:dyDescent="0.25">
      <c r="B231" s="78" t="s">
        <v>290</v>
      </c>
      <c r="C231" s="2"/>
      <c r="D231" s="2" t="s">
        <v>80</v>
      </c>
      <c r="E231" s="2"/>
      <c r="F231" s="2"/>
      <c r="G231" s="2"/>
      <c r="H231" s="2"/>
      <c r="I231" s="2"/>
    </row>
    <row r="232" spans="1:14" x14ac:dyDescent="0.25">
      <c r="B232" s="2"/>
      <c r="C232" s="2" t="s">
        <v>18</v>
      </c>
      <c r="D232" s="81" t="s">
        <v>31</v>
      </c>
      <c r="E232" s="287"/>
      <c r="F232" s="2"/>
      <c r="G232" s="2" t="s">
        <v>32</v>
      </c>
      <c r="J232" s="72" t="s">
        <v>33</v>
      </c>
      <c r="K232" s="76">
        <f>E236+E234+E232</f>
        <v>0</v>
      </c>
      <c r="N232" s="48" t="s">
        <v>489</v>
      </c>
    </row>
    <row r="233" spans="1:14" x14ac:dyDescent="0.25">
      <c r="B233" s="2"/>
      <c r="C233" s="2"/>
      <c r="D233" s="82"/>
      <c r="E233" s="2"/>
      <c r="F233" s="2"/>
      <c r="G233" s="2"/>
      <c r="H233" s="2"/>
      <c r="I233" s="2"/>
    </row>
    <row r="234" spans="1:14" x14ac:dyDescent="0.25">
      <c r="B234" s="2"/>
      <c r="C234" s="2" t="s">
        <v>19</v>
      </c>
      <c r="D234" s="81" t="s">
        <v>34</v>
      </c>
      <c r="E234" s="287"/>
      <c r="F234" s="2"/>
      <c r="G234" s="2"/>
      <c r="H234" s="2"/>
      <c r="I234" s="2"/>
    </row>
    <row r="235" spans="1:14" x14ac:dyDescent="0.25">
      <c r="B235" s="2"/>
      <c r="C235" s="2"/>
      <c r="D235" s="82"/>
      <c r="E235" s="2"/>
      <c r="F235" s="2"/>
      <c r="G235" s="2"/>
      <c r="H235" s="2"/>
      <c r="I235" s="2"/>
    </row>
    <row r="236" spans="1:14" x14ac:dyDescent="0.25">
      <c r="B236" s="2"/>
      <c r="C236" s="2" t="s">
        <v>20</v>
      </c>
      <c r="D236" s="81" t="s">
        <v>35</v>
      </c>
      <c r="E236" s="287"/>
      <c r="F236" s="2"/>
      <c r="G236" s="2"/>
      <c r="H236" s="2"/>
      <c r="I236" s="2"/>
    </row>
    <row r="239" spans="1:14" x14ac:dyDescent="0.25">
      <c r="A239" s="295" t="s">
        <v>180</v>
      </c>
      <c r="B239" s="295"/>
      <c r="C239" s="295"/>
      <c r="D239" s="295"/>
      <c r="E239" s="295"/>
      <c r="F239" s="295"/>
      <c r="G239" s="295"/>
      <c r="H239" s="295"/>
      <c r="I239" s="295"/>
      <c r="J239" s="295"/>
      <c r="K239" s="295"/>
      <c r="L239" s="295"/>
      <c r="M239" s="295"/>
    </row>
    <row r="241" spans="1:13" x14ac:dyDescent="0.25">
      <c r="A241" s="2"/>
      <c r="B241" s="78" t="s">
        <v>291</v>
      </c>
      <c r="C241" s="2"/>
      <c r="D241" s="2" t="s">
        <v>181</v>
      </c>
      <c r="E241" s="2"/>
      <c r="F241" s="2"/>
      <c r="G241" s="2"/>
      <c r="H241" s="2"/>
      <c r="I241" s="2"/>
      <c r="J241" s="2"/>
      <c r="K241" s="2"/>
      <c r="L241" s="2"/>
      <c r="M241" s="2"/>
    </row>
    <row r="242" spans="1:13" x14ac:dyDescent="0.25">
      <c r="B242" s="2"/>
      <c r="C242" s="2" t="s">
        <v>18</v>
      </c>
      <c r="D242" s="81" t="s">
        <v>31</v>
      </c>
      <c r="E242" s="76">
        <f>'РегистрСО ОСМС'!N14+регистр200.02!AZ8</f>
        <v>0</v>
      </c>
      <c r="F242" s="2"/>
      <c r="G242" s="2" t="s">
        <v>32</v>
      </c>
      <c r="J242" s="72" t="s">
        <v>33</v>
      </c>
      <c r="K242" s="76">
        <f>E246+E244+E242</f>
        <v>0</v>
      </c>
    </row>
    <row r="243" spans="1:13" x14ac:dyDescent="0.25">
      <c r="B243" s="2"/>
      <c r="C243" s="2"/>
      <c r="D243" s="82"/>
      <c r="E243" s="2"/>
      <c r="F243" s="2"/>
      <c r="G243" s="2"/>
      <c r="H243" s="2"/>
      <c r="I243" s="2"/>
    </row>
    <row r="244" spans="1:13" x14ac:dyDescent="0.25">
      <c r="B244" s="2"/>
      <c r="C244" s="2" t="s">
        <v>19</v>
      </c>
      <c r="D244" s="81" t="s">
        <v>34</v>
      </c>
      <c r="E244" s="76">
        <f>'РегистрСО ОСМС'!N27+регистр200.02!AZ13</f>
        <v>0</v>
      </c>
      <c r="F244" s="2"/>
      <c r="G244" s="2"/>
      <c r="H244" s="2"/>
      <c r="I244" s="2"/>
    </row>
    <row r="245" spans="1:13" x14ac:dyDescent="0.25">
      <c r="B245" s="2"/>
      <c r="C245" s="2"/>
      <c r="D245" s="82"/>
      <c r="E245" s="2"/>
      <c r="F245" s="2"/>
      <c r="G245" s="2"/>
      <c r="H245" s="2"/>
      <c r="I245" s="2"/>
    </row>
    <row r="246" spans="1:13" x14ac:dyDescent="0.25">
      <c r="B246" s="2"/>
      <c r="C246" s="2" t="s">
        <v>20</v>
      </c>
      <c r="D246" s="81" t="s">
        <v>35</v>
      </c>
      <c r="E246" s="76">
        <f>'РегистрСО ОСМС'!N40+регистр200.02!AZ18</f>
        <v>0</v>
      </c>
      <c r="F246" s="2"/>
      <c r="G246" s="2"/>
      <c r="H246" s="2"/>
      <c r="I246" s="2"/>
    </row>
    <row r="249" spans="1:13" x14ac:dyDescent="0.25">
      <c r="A249" s="2"/>
      <c r="B249" s="78" t="s">
        <v>322</v>
      </c>
      <c r="C249" s="2"/>
      <c r="D249" s="2" t="s">
        <v>184</v>
      </c>
      <c r="E249" s="2"/>
      <c r="F249" s="2"/>
      <c r="G249" s="2"/>
      <c r="H249" s="2"/>
      <c r="I249" s="2"/>
      <c r="J249" s="2"/>
      <c r="K249" s="2"/>
      <c r="L249" s="2"/>
      <c r="M249" s="2"/>
    </row>
    <row r="250" spans="1:13" x14ac:dyDescent="0.25">
      <c r="B250" s="2"/>
      <c r="C250" s="2" t="s">
        <v>18</v>
      </c>
      <c r="D250" s="81" t="s">
        <v>31</v>
      </c>
      <c r="E250" s="76">
        <f>РегистрОПВ!S13+ДоговораГПХ!AF8+регистр200.02!Z8/0.02</f>
        <v>0</v>
      </c>
      <c r="F250" s="2"/>
      <c r="G250" s="2" t="s">
        <v>32</v>
      </c>
      <c r="J250" s="72" t="s">
        <v>33</v>
      </c>
      <c r="K250" s="76">
        <f>E254+E252+E250</f>
        <v>0</v>
      </c>
    </row>
    <row r="251" spans="1:13" x14ac:dyDescent="0.25">
      <c r="B251" s="2"/>
      <c r="C251" s="2"/>
      <c r="D251" s="82"/>
      <c r="E251" s="2"/>
      <c r="F251" s="2"/>
      <c r="G251" s="2"/>
      <c r="H251" s="2"/>
      <c r="I251" s="2"/>
    </row>
    <row r="252" spans="1:13" ht="15" customHeight="1" x14ac:dyDescent="0.25">
      <c r="B252" s="2"/>
      <c r="C252" s="2" t="s">
        <v>19</v>
      </c>
      <c r="D252" s="81" t="s">
        <v>34</v>
      </c>
      <c r="E252" s="76">
        <f>РегистрОПВ!S26+ДоговораГПХ!AF21+регистр200.02!Z13/0.02</f>
        <v>0</v>
      </c>
      <c r="F252" s="2"/>
      <c r="G252" s="2"/>
      <c r="H252" s="2"/>
      <c r="I252" s="2"/>
    </row>
    <row r="253" spans="1:13" x14ac:dyDescent="0.25">
      <c r="B253" s="2"/>
      <c r="C253" s="2"/>
      <c r="D253" s="82"/>
      <c r="E253" s="2"/>
      <c r="F253" s="2"/>
      <c r="G253" s="2"/>
      <c r="H253" s="2"/>
      <c r="I253" s="2"/>
    </row>
    <row r="254" spans="1:13" x14ac:dyDescent="0.25">
      <c r="B254" s="2"/>
      <c r="C254" s="2" t="s">
        <v>20</v>
      </c>
      <c r="D254" s="81" t="s">
        <v>35</v>
      </c>
      <c r="E254" s="76">
        <f>РегистрОПВ!S39+ДоговораГПХ!AF34+регистр200.02!Z18/0.02</f>
        <v>0</v>
      </c>
      <c r="F254" s="2"/>
      <c r="G254" s="2"/>
      <c r="H254" s="2"/>
      <c r="I254" s="2"/>
    </row>
    <row r="257" spans="2:14" x14ac:dyDescent="0.25">
      <c r="B257" s="78" t="s">
        <v>453</v>
      </c>
      <c r="C257" s="2"/>
      <c r="D257" s="2" t="s">
        <v>297</v>
      </c>
      <c r="E257" s="2"/>
      <c r="F257" s="2"/>
      <c r="G257" s="2"/>
      <c r="H257" s="2"/>
      <c r="I257" s="2"/>
      <c r="J257" s="2"/>
      <c r="K257" s="2"/>
    </row>
    <row r="258" spans="2:14" x14ac:dyDescent="0.25">
      <c r="B258" s="2"/>
      <c r="C258" s="2" t="s">
        <v>18</v>
      </c>
      <c r="D258" s="81" t="s">
        <v>31</v>
      </c>
      <c r="E258" s="286"/>
      <c r="F258" s="2"/>
      <c r="G258" s="2" t="s">
        <v>32</v>
      </c>
      <c r="J258" s="72" t="s">
        <v>33</v>
      </c>
      <c r="K258" s="76">
        <f>E262+E260+E258</f>
        <v>0</v>
      </c>
      <c r="N258" s="48" t="s">
        <v>489</v>
      </c>
    </row>
    <row r="259" spans="2:14" x14ac:dyDescent="0.25">
      <c r="B259" s="2"/>
      <c r="C259" s="2"/>
      <c r="D259" s="82"/>
      <c r="E259" s="2"/>
      <c r="F259" s="2"/>
      <c r="G259" s="2"/>
      <c r="H259" s="2"/>
      <c r="I259" s="2"/>
    </row>
    <row r="260" spans="2:14" x14ac:dyDescent="0.25">
      <c r="B260" s="2"/>
      <c r="C260" s="2" t="s">
        <v>19</v>
      </c>
      <c r="D260" s="81" t="s">
        <v>34</v>
      </c>
      <c r="E260" s="286"/>
      <c r="F260" s="2"/>
      <c r="G260" s="2"/>
      <c r="H260" s="2"/>
      <c r="I260" s="2"/>
    </row>
    <row r="261" spans="2:14" x14ac:dyDescent="0.25">
      <c r="B261" s="2"/>
      <c r="C261" s="2"/>
      <c r="D261" s="82"/>
      <c r="E261" s="2"/>
      <c r="F261" s="2"/>
      <c r="G261" s="2"/>
      <c r="H261" s="2"/>
      <c r="I261" s="2"/>
    </row>
    <row r="262" spans="2:14" x14ac:dyDescent="0.25">
      <c r="B262" s="2"/>
      <c r="C262" s="2" t="s">
        <v>20</v>
      </c>
      <c r="D262" s="81" t="s">
        <v>35</v>
      </c>
      <c r="E262" s="286"/>
      <c r="F262" s="2"/>
      <c r="G262" s="2"/>
      <c r="H262" s="2"/>
      <c r="I262" s="2"/>
    </row>
  </sheetData>
  <mergeCells count="24">
    <mergeCell ref="E2:K2"/>
    <mergeCell ref="A8:M8"/>
    <mergeCell ref="G43:H43"/>
    <mergeCell ref="C29:L29"/>
    <mergeCell ref="C31:L31"/>
    <mergeCell ref="C33:L33"/>
    <mergeCell ref="C35:L35"/>
    <mergeCell ref="C37:L37"/>
    <mergeCell ref="A213:M213"/>
    <mergeCell ref="C39:L39"/>
    <mergeCell ref="C27:L27"/>
    <mergeCell ref="A239:M239"/>
    <mergeCell ref="A180:M180"/>
    <mergeCell ref="A202:M202"/>
    <mergeCell ref="A222:M222"/>
    <mergeCell ref="A138:M138"/>
    <mergeCell ref="D168:I168"/>
    <mergeCell ref="C157:I157"/>
    <mergeCell ref="D166:I166"/>
    <mergeCell ref="A56:M56"/>
    <mergeCell ref="A136:M136"/>
    <mergeCell ref="C43:E43"/>
    <mergeCell ref="C47:E48"/>
    <mergeCell ref="K43:L43"/>
  </mergeCells>
  <pageMargins left="0.7" right="0.7" top="0.75" bottom="0.75" header="0.3" footer="0.3"/>
  <pageSetup paperSize="9" scale="6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 sizeWithCells="1">
                  <from>
                    <xdr:col>0</xdr:col>
                    <xdr:colOff>236220</xdr:colOff>
                    <xdr:row>16</xdr:row>
                    <xdr:rowOff>83820</xdr:rowOff>
                  </from>
                  <to>
                    <xdr:col>3</xdr:col>
                    <xdr:colOff>121920</xdr:colOff>
                    <xdr:row>17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Option Button 7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16</xdr:row>
                    <xdr:rowOff>99060</xdr:rowOff>
                  </from>
                  <to>
                    <xdr:col>7</xdr:col>
                    <xdr:colOff>0</xdr:colOff>
                    <xdr:row>17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Option Button 8">
              <controlPr defaultSize="0" autoFill="0" autoLine="0" autoPict="0">
                <anchor moveWithCells="1" sizeWithCells="1">
                  <from>
                    <xdr:col>7</xdr:col>
                    <xdr:colOff>259080</xdr:colOff>
                    <xdr:row>16</xdr:row>
                    <xdr:rowOff>121920</xdr:rowOff>
                  </from>
                  <to>
                    <xdr:col>10</xdr:col>
                    <xdr:colOff>601980</xdr:colOff>
                    <xdr:row>17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50</xdr:row>
                    <xdr:rowOff>0</xdr:rowOff>
                  </from>
                  <to>
                    <xdr:col>7</xdr:col>
                    <xdr:colOff>236220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 sizeWithCells="1">
                  <from>
                    <xdr:col>7</xdr:col>
                    <xdr:colOff>601980</xdr:colOff>
                    <xdr:row>49</xdr:row>
                    <xdr:rowOff>144780</xdr:rowOff>
                  </from>
                  <to>
                    <xdr:col>8</xdr:col>
                    <xdr:colOff>426720</xdr:colOff>
                    <xdr:row>51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49</xdr:row>
                    <xdr:rowOff>152400</xdr:rowOff>
                  </from>
                  <to>
                    <xdr:col>10</xdr:col>
                    <xdr:colOff>60960</xdr:colOff>
                    <xdr:row>51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Option Button 12">
              <controlPr defaultSize="0" autoFill="0" autoLine="0" autoPict="0">
                <anchor moveWithCells="1" sizeWithCells="1">
                  <from>
                    <xdr:col>11</xdr:col>
                    <xdr:colOff>144780</xdr:colOff>
                    <xdr:row>16</xdr:row>
                    <xdr:rowOff>106680</xdr:rowOff>
                  </from>
                  <to>
                    <xdr:col>13</xdr:col>
                    <xdr:colOff>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Option Button 13">
              <controlPr defaultSize="0" autoFill="0" autoLine="0" autoPict="0">
                <anchor moveWithCells="1" sizeWithCells="1">
                  <from>
                    <xdr:col>3</xdr:col>
                    <xdr:colOff>144780</xdr:colOff>
                    <xdr:row>16</xdr:row>
                    <xdr:rowOff>83820</xdr:rowOff>
                  </from>
                  <to>
                    <xdr:col>4</xdr:col>
                    <xdr:colOff>419100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26</xdr:row>
                    <xdr:rowOff>0</xdr:rowOff>
                  </from>
                  <to>
                    <xdr:col>12</xdr:col>
                    <xdr:colOff>594360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28</xdr:row>
                    <xdr:rowOff>0</xdr:rowOff>
                  </from>
                  <to>
                    <xdr:col>12</xdr:col>
                    <xdr:colOff>525780</xdr:colOff>
                    <xdr:row>29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30</xdr:row>
                    <xdr:rowOff>0</xdr:rowOff>
                  </from>
                  <to>
                    <xdr:col>13</xdr:col>
                    <xdr:colOff>22860</xdr:colOff>
                    <xdr:row>30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 sizeWithCells="1">
                  <from>
                    <xdr:col>10</xdr:col>
                    <xdr:colOff>22860</xdr:colOff>
                    <xdr:row>49</xdr:row>
                    <xdr:rowOff>144780</xdr:rowOff>
                  </from>
                  <to>
                    <xdr:col>11</xdr:col>
                    <xdr:colOff>76200</xdr:colOff>
                    <xdr:row>51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32</xdr:row>
                    <xdr:rowOff>0</xdr:rowOff>
                  </from>
                  <to>
                    <xdr:col>13</xdr:col>
                    <xdr:colOff>22860</xdr:colOff>
                    <xdr:row>32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Check Box 28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34</xdr:row>
                    <xdr:rowOff>0</xdr:rowOff>
                  </from>
                  <to>
                    <xdr:col>13</xdr:col>
                    <xdr:colOff>22860</xdr:colOff>
                    <xdr:row>34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42</xdr:row>
                    <xdr:rowOff>0</xdr:rowOff>
                  </from>
                  <to>
                    <xdr:col>9</xdr:col>
                    <xdr:colOff>22860</xdr:colOff>
                    <xdr:row>43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Check Box 31">
              <controlPr defaultSize="0" autoFill="0" autoLine="0" autoPict="0">
                <anchor moveWithCells="1" sizeWithCells="1">
                  <from>
                    <xdr:col>7</xdr:col>
                    <xdr:colOff>579120</xdr:colOff>
                    <xdr:row>42</xdr:row>
                    <xdr:rowOff>0</xdr:rowOff>
                  </from>
                  <to>
                    <xdr:col>8</xdr:col>
                    <xdr:colOff>601980</xdr:colOff>
                    <xdr:row>43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13</xdr:col>
                    <xdr:colOff>22860</xdr:colOff>
                    <xdr:row>43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1" name="Check Box 36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49</xdr:row>
                    <xdr:rowOff>121920</xdr:rowOff>
                  </from>
                  <to>
                    <xdr:col>12</xdr:col>
                    <xdr:colOff>60960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2" name="Check Box 38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36</xdr:row>
                    <xdr:rowOff>0</xdr:rowOff>
                  </from>
                  <to>
                    <xdr:col>13</xdr:col>
                    <xdr:colOff>22860</xdr:colOff>
                    <xdr:row>36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3" name="Check Box 39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38</xdr:row>
                    <xdr:rowOff>0</xdr:rowOff>
                  </from>
                  <to>
                    <xdr:col>12</xdr:col>
                    <xdr:colOff>594360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4" name="Check Box 52">
              <controlPr defaultSize="0" autoFill="0" autoLine="0" autoPict="0">
                <anchor moveWithCells="1" sizeWithCells="1">
                  <from>
                    <xdr:col>12</xdr:col>
                    <xdr:colOff>22860</xdr:colOff>
                    <xdr:row>49</xdr:row>
                    <xdr:rowOff>144780</xdr:rowOff>
                  </from>
                  <to>
                    <xdr:col>13</xdr:col>
                    <xdr:colOff>76200</xdr:colOff>
                    <xdr:row>51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86"/>
  <sheetViews>
    <sheetView topLeftCell="A9" zoomScale="106" zoomScaleNormal="106" workbookViewId="0">
      <pane xSplit="7" ySplit="4" topLeftCell="O13" activePane="bottomRight" state="frozen"/>
      <selection activeCell="A9" sqref="A9"/>
      <selection pane="topRight" activeCell="H9" sqref="H9"/>
      <selection pane="bottomLeft" activeCell="A13" sqref="A13"/>
      <selection pane="bottomRight" activeCell="O19" sqref="O19"/>
    </sheetView>
  </sheetViews>
  <sheetFormatPr defaultColWidth="9.109375" defaultRowHeight="13.2" x14ac:dyDescent="0.25"/>
  <cols>
    <col min="1" max="1" width="3" style="48" customWidth="1"/>
    <col min="2" max="2" width="21.33203125" style="48" customWidth="1"/>
    <col min="3" max="3" width="22" style="48" customWidth="1"/>
    <col min="4" max="4" width="13.6640625" style="48" customWidth="1"/>
    <col min="5" max="6" width="13.109375" style="48" customWidth="1"/>
    <col min="7" max="8" width="11.88671875" style="48" customWidth="1"/>
    <col min="9" max="9" width="14.6640625" style="48" customWidth="1"/>
    <col min="10" max="10" width="13.109375" style="48" customWidth="1"/>
    <col min="11" max="11" width="11.6640625" style="48" customWidth="1"/>
    <col min="12" max="15" width="15.5546875" style="48" customWidth="1"/>
    <col min="16" max="16" width="13.88671875" style="48" customWidth="1"/>
    <col min="17" max="20" width="12.6640625" style="48" customWidth="1"/>
    <col min="21" max="16384" width="9.109375" style="48"/>
  </cols>
  <sheetData>
    <row r="1" spans="1:21" ht="19.5" customHeight="1" x14ac:dyDescent="0.25">
      <c r="A1" s="91" t="s">
        <v>81</v>
      </c>
      <c r="B1" s="92" t="s">
        <v>102</v>
      </c>
      <c r="C1" s="92"/>
      <c r="G1" s="305"/>
      <c r="H1" s="305"/>
      <c r="I1" s="305"/>
      <c r="J1" s="93"/>
      <c r="K1" s="93"/>
      <c r="L1" s="94"/>
      <c r="M1" s="94"/>
      <c r="N1" s="94"/>
      <c r="O1" s="94"/>
    </row>
    <row r="2" spans="1:21" x14ac:dyDescent="0.25">
      <c r="A2" s="91" t="s">
        <v>82</v>
      </c>
      <c r="B2" s="92" t="s">
        <v>103</v>
      </c>
      <c r="C2" s="15">
        <f>'200.00 200.01'!E10</f>
        <v>123123123</v>
      </c>
      <c r="G2" s="305"/>
      <c r="H2" s="305"/>
      <c r="I2" s="305"/>
      <c r="J2" s="94"/>
      <c r="K2" s="94"/>
      <c r="L2" s="94"/>
      <c r="M2" s="94"/>
      <c r="N2" s="94"/>
      <c r="O2" s="94"/>
    </row>
    <row r="3" spans="1:21" x14ac:dyDescent="0.25">
      <c r="A3" s="94"/>
      <c r="B3" s="15" t="s">
        <v>83</v>
      </c>
      <c r="C3" s="15"/>
      <c r="G3" s="95"/>
      <c r="H3" s="95"/>
      <c r="I3" s="95"/>
      <c r="J3" s="95"/>
      <c r="K3" s="95"/>
      <c r="L3" s="94"/>
      <c r="M3" s="94"/>
      <c r="N3" s="94"/>
      <c r="O3" s="94"/>
    </row>
    <row r="4" spans="1:21" x14ac:dyDescent="0.25">
      <c r="A4" s="37" t="s">
        <v>84</v>
      </c>
      <c r="B4" s="94" t="s">
        <v>104</v>
      </c>
      <c r="C4" s="94"/>
      <c r="D4" s="48" t="str">
        <f>'200.00 200.01'!J14</f>
        <v>ТОО AAAA</v>
      </c>
      <c r="G4" s="305"/>
      <c r="H4" s="305"/>
      <c r="I4" s="305"/>
      <c r="J4" s="94"/>
      <c r="K4" s="94"/>
      <c r="L4" s="94"/>
      <c r="M4" s="94"/>
      <c r="N4" s="94"/>
      <c r="O4" s="94"/>
    </row>
    <row r="5" spans="1:21" x14ac:dyDescent="0.25">
      <c r="A5" s="37" t="s">
        <v>85</v>
      </c>
      <c r="B5" s="94" t="s">
        <v>105</v>
      </c>
      <c r="C5" s="94"/>
      <c r="G5" s="94" t="s">
        <v>106</v>
      </c>
      <c r="H5" s="94">
        <f>'200.00 200.01'!J12</f>
        <v>1</v>
      </c>
      <c r="I5" s="94" t="s">
        <v>107</v>
      </c>
      <c r="J5" s="94">
        <f>'200.00 200.01'!M12</f>
        <v>2024</v>
      </c>
      <c r="K5" s="94"/>
      <c r="L5" s="94"/>
      <c r="M5" s="94"/>
      <c r="N5" s="94"/>
      <c r="O5" s="94"/>
    </row>
    <row r="6" spans="1:21" x14ac:dyDescent="0.25">
      <c r="A6" s="37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</row>
    <row r="7" spans="1:21" x14ac:dyDescent="0.25">
      <c r="A7" s="94"/>
      <c r="B7" s="5" t="s">
        <v>86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</row>
    <row r="8" spans="1:21" ht="13.8" thickBot="1" x14ac:dyDescent="0.3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 t="s">
        <v>87</v>
      </c>
      <c r="M8" s="94"/>
      <c r="N8" s="94"/>
      <c r="O8" s="94"/>
    </row>
    <row r="9" spans="1:21" ht="102.75" customHeight="1" thickBot="1" x14ac:dyDescent="0.3">
      <c r="A9" s="96" t="s">
        <v>88</v>
      </c>
      <c r="B9" s="58" t="s">
        <v>89</v>
      </c>
      <c r="C9" s="58" t="s">
        <v>90</v>
      </c>
      <c r="D9" s="58" t="s">
        <v>233</v>
      </c>
      <c r="E9" s="58" t="s">
        <v>91</v>
      </c>
      <c r="F9" s="58" t="s">
        <v>191</v>
      </c>
      <c r="G9" s="58" t="s">
        <v>92</v>
      </c>
      <c r="H9" s="58" t="s">
        <v>93</v>
      </c>
      <c r="I9" s="58" t="s">
        <v>112</v>
      </c>
      <c r="J9" s="58" t="s">
        <v>94</v>
      </c>
      <c r="K9" s="58" t="s">
        <v>95</v>
      </c>
      <c r="L9" s="59" t="s">
        <v>458</v>
      </c>
      <c r="M9" s="59" t="s">
        <v>114</v>
      </c>
      <c r="N9" s="59" t="s">
        <v>115</v>
      </c>
      <c r="O9" s="202" t="s">
        <v>229</v>
      </c>
      <c r="P9" s="202" t="s">
        <v>237</v>
      </c>
      <c r="Q9" s="202" t="s">
        <v>238</v>
      </c>
      <c r="R9" s="202" t="s">
        <v>241</v>
      </c>
      <c r="S9" s="202" t="s">
        <v>292</v>
      </c>
      <c r="T9" s="202" t="s">
        <v>236</v>
      </c>
      <c r="U9" s="202" t="s">
        <v>457</v>
      </c>
    </row>
    <row r="10" spans="1:21" x14ac:dyDescent="0.25">
      <c r="A10" s="97"/>
      <c r="B10" s="98">
        <v>1</v>
      </c>
      <c r="C10" s="98">
        <v>2</v>
      </c>
      <c r="D10" s="98">
        <v>3</v>
      </c>
      <c r="E10" s="98">
        <v>4</v>
      </c>
      <c r="F10" s="98">
        <v>5</v>
      </c>
      <c r="G10" s="99">
        <v>6</v>
      </c>
      <c r="H10" s="98">
        <v>7</v>
      </c>
      <c r="I10" s="99">
        <v>8</v>
      </c>
      <c r="J10" s="98">
        <v>9</v>
      </c>
      <c r="K10" s="99">
        <v>10</v>
      </c>
      <c r="L10" s="100">
        <v>11</v>
      </c>
      <c r="M10" s="100">
        <v>12</v>
      </c>
      <c r="N10" s="100">
        <v>13</v>
      </c>
      <c r="O10" s="99">
        <v>14</v>
      </c>
      <c r="P10" s="131">
        <v>15</v>
      </c>
      <c r="Q10" s="131">
        <v>16</v>
      </c>
      <c r="R10" s="131">
        <v>17</v>
      </c>
      <c r="S10" s="131">
        <v>18</v>
      </c>
      <c r="T10" s="131">
        <v>19</v>
      </c>
      <c r="U10" s="131">
        <v>20</v>
      </c>
    </row>
    <row r="11" spans="1:21" ht="52.8" x14ac:dyDescent="0.25">
      <c r="A11" s="101"/>
      <c r="B11" s="102"/>
      <c r="C11" s="102"/>
      <c r="D11" s="102" t="s">
        <v>111</v>
      </c>
      <c r="E11" s="19"/>
      <c r="F11" s="19"/>
      <c r="G11" s="19"/>
      <c r="H11" s="103" t="s">
        <v>192</v>
      </c>
      <c r="I11" s="104" t="s">
        <v>193</v>
      </c>
      <c r="J11" s="104" t="s">
        <v>208</v>
      </c>
      <c r="K11" s="104" t="s">
        <v>194</v>
      </c>
      <c r="L11" s="105" t="s">
        <v>195</v>
      </c>
      <c r="M11" s="105"/>
      <c r="N11" s="105"/>
      <c r="O11" s="103" t="s">
        <v>196</v>
      </c>
      <c r="P11" s="51"/>
      <c r="Q11" s="103" t="s">
        <v>239</v>
      </c>
      <c r="R11" s="103" t="s">
        <v>242</v>
      </c>
      <c r="S11" s="103" t="s">
        <v>293</v>
      </c>
      <c r="T11" s="224" t="s">
        <v>294</v>
      </c>
      <c r="U11" s="224" t="s">
        <v>456</v>
      </c>
    </row>
    <row r="12" spans="1:21" x14ac:dyDescent="0.25">
      <c r="A12" s="101"/>
      <c r="B12" s="102" t="s">
        <v>206</v>
      </c>
      <c r="C12" s="102"/>
      <c r="D12" s="102"/>
      <c r="E12" s="19"/>
      <c r="F12" s="19"/>
      <c r="G12" s="19"/>
      <c r="H12" s="103"/>
      <c r="I12" s="106">
        <v>0.1</v>
      </c>
      <c r="J12" s="104"/>
      <c r="K12" s="106">
        <v>0.1</v>
      </c>
      <c r="L12" s="107"/>
      <c r="M12" s="107"/>
      <c r="N12" s="107"/>
      <c r="O12" s="103"/>
      <c r="P12" s="51"/>
      <c r="Q12" s="51"/>
      <c r="R12" s="51"/>
      <c r="S12" s="51"/>
      <c r="T12" s="51"/>
      <c r="U12" s="51"/>
    </row>
    <row r="13" spans="1:21" x14ac:dyDescent="0.25">
      <c r="A13" s="101"/>
      <c r="B13" s="23" t="s">
        <v>108</v>
      </c>
      <c r="C13" s="102"/>
      <c r="D13" s="174">
        <f t="shared" ref="D13:N13" si="0">SUM(D14:D25)</f>
        <v>0</v>
      </c>
      <c r="E13" s="174">
        <f t="shared" si="0"/>
        <v>0</v>
      </c>
      <c r="F13" s="174"/>
      <c r="G13" s="174">
        <f t="shared" si="0"/>
        <v>0</v>
      </c>
      <c r="H13" s="174">
        <f t="shared" si="0"/>
        <v>0</v>
      </c>
      <c r="I13" s="174">
        <f t="shared" si="0"/>
        <v>0</v>
      </c>
      <c r="J13" s="174"/>
      <c r="K13" s="174"/>
      <c r="L13" s="174">
        <f t="shared" si="0"/>
        <v>0</v>
      </c>
      <c r="M13" s="108">
        <f t="shared" si="0"/>
        <v>0</v>
      </c>
      <c r="N13" s="174">
        <f t="shared" si="0"/>
        <v>0</v>
      </c>
      <c r="O13" s="174">
        <f t="shared" ref="O13:T13" si="1">SUM(O14:O25)</f>
        <v>0</v>
      </c>
      <c r="P13" s="174">
        <f t="shared" si="1"/>
        <v>0</v>
      </c>
      <c r="Q13" s="174">
        <f t="shared" si="1"/>
        <v>0</v>
      </c>
      <c r="R13" s="174">
        <f t="shared" si="1"/>
        <v>10200000</v>
      </c>
      <c r="S13" s="174">
        <f t="shared" si="1"/>
        <v>0</v>
      </c>
      <c r="T13" s="225">
        <f t="shared" si="1"/>
        <v>0</v>
      </c>
      <c r="U13" s="225">
        <f>SUM(U14:U25)</f>
        <v>0</v>
      </c>
    </row>
    <row r="14" spans="1:21" ht="14.4" customHeight="1" x14ac:dyDescent="0.25">
      <c r="A14" s="116">
        <v>1</v>
      </c>
      <c r="B14" s="117" t="s">
        <v>436</v>
      </c>
      <c r="C14" s="57"/>
      <c r="D14" s="214"/>
      <c r="E14" s="214"/>
      <c r="F14" s="214"/>
      <c r="G14" s="214"/>
      <c r="H14" s="60">
        <f>IF(F14=1,0,E14-G14)</f>
        <v>0</v>
      </c>
      <c r="I14" s="60">
        <f>H14*$I$12</f>
        <v>0</v>
      </c>
      <c r="J14" s="60">
        <f>50*Описание!E$16</f>
        <v>4250000</v>
      </c>
      <c r="K14" s="60">
        <f>J14*K$12</f>
        <v>425000</v>
      </c>
      <c r="L14" s="60">
        <f>IF(K14&lt;I14,K14,I14)</f>
        <v>0</v>
      </c>
      <c r="M14" s="109">
        <f>РегистрИПН!O15</f>
        <v>0</v>
      </c>
      <c r="N14" s="175">
        <f>IF(РегистрИПН!N15&lt;=0,(D14+L14),(D14+L14)*M14)</f>
        <v>0</v>
      </c>
      <c r="O14" s="60">
        <f>D14+L14-N14</f>
        <v>0</v>
      </c>
      <c r="P14" s="214"/>
      <c r="Q14" s="203">
        <f>E14-P14</f>
        <v>0</v>
      </c>
      <c r="R14" s="203">
        <f>10*Описание!E$16</f>
        <v>850000</v>
      </c>
      <c r="S14" s="203">
        <f>IF(Q14&lt;R14,Q14,R14)</f>
        <v>0</v>
      </c>
      <c r="T14" s="203">
        <f>S14*2%</f>
        <v>0</v>
      </c>
      <c r="U14" s="203">
        <f t="shared" ref="U14:U25" si="2">H14*0%</f>
        <v>0</v>
      </c>
    </row>
    <row r="15" spans="1:21" ht="14.4" customHeight="1" x14ac:dyDescent="0.25">
      <c r="A15" s="116">
        <v>2</v>
      </c>
      <c r="B15" s="117" t="s">
        <v>437</v>
      </c>
      <c r="C15" s="57"/>
      <c r="D15" s="214"/>
      <c r="E15" s="214"/>
      <c r="F15" s="214"/>
      <c r="G15" s="214"/>
      <c r="H15" s="60">
        <f>IF(F15=1,0,E15-G15)</f>
        <v>0</v>
      </c>
      <c r="I15" s="60">
        <f>H15*$I$12</f>
        <v>0</v>
      </c>
      <c r="J15" s="60">
        <f>50*Описание!E$16</f>
        <v>4250000</v>
      </c>
      <c r="K15" s="60">
        <f>J15*K$12</f>
        <v>425000</v>
      </c>
      <c r="L15" s="60">
        <f t="shared" ref="L15:L25" si="3">IF(K15&lt;I15,K15,I15)</f>
        <v>0</v>
      </c>
      <c r="M15" s="109">
        <f>РегистрИПН!O16</f>
        <v>0</v>
      </c>
      <c r="N15" s="175">
        <f>IF(РегистрИПН!N16&lt;=0,(D15+L15),(D15+L15)*M15)</f>
        <v>0</v>
      </c>
      <c r="O15" s="60">
        <f t="shared" ref="O15:O25" si="4">D15+L15-N15</f>
        <v>0</v>
      </c>
      <c r="P15" s="214"/>
      <c r="Q15" s="203">
        <f t="shared" ref="Q15:Q25" si="5">E15-P15</f>
        <v>0</v>
      </c>
      <c r="R15" s="203">
        <f>10*Описание!E$16</f>
        <v>850000</v>
      </c>
      <c r="S15" s="203">
        <f t="shared" ref="S15:S25" si="6">IF(Q15&lt;R15,Q15,R15)</f>
        <v>0</v>
      </c>
      <c r="T15" s="203">
        <f>S15*2%</f>
        <v>0</v>
      </c>
      <c r="U15" s="203">
        <f t="shared" si="2"/>
        <v>0</v>
      </c>
    </row>
    <row r="16" spans="1:21" ht="14.4" customHeight="1" x14ac:dyDescent="0.25">
      <c r="A16" s="116">
        <v>3</v>
      </c>
      <c r="B16" s="117" t="s">
        <v>438</v>
      </c>
      <c r="C16" s="57"/>
      <c r="D16" s="214"/>
      <c r="E16" s="214"/>
      <c r="F16" s="214"/>
      <c r="G16" s="214"/>
      <c r="H16" s="60">
        <f t="shared" ref="H16:H25" si="7">IF(F16=1,0,E16-G16)</f>
        <v>0</v>
      </c>
      <c r="I16" s="60">
        <f t="shared" ref="I16:I25" si="8">H16*$I$12</f>
        <v>0</v>
      </c>
      <c r="J16" s="60">
        <f>50*Описание!E$16</f>
        <v>4250000</v>
      </c>
      <c r="K16" s="60">
        <f t="shared" ref="K16:K25" si="9">J16*K$12</f>
        <v>425000</v>
      </c>
      <c r="L16" s="60">
        <f t="shared" si="3"/>
        <v>0</v>
      </c>
      <c r="M16" s="109">
        <f>РегистрИПН!O17</f>
        <v>0</v>
      </c>
      <c r="N16" s="175">
        <f>IF(РегистрИПН!N17&lt;=0,(D16+L16),(D16+L16)*M16)</f>
        <v>0</v>
      </c>
      <c r="O16" s="60">
        <f t="shared" si="4"/>
        <v>0</v>
      </c>
      <c r="P16" s="214"/>
      <c r="Q16" s="203">
        <f t="shared" si="5"/>
        <v>0</v>
      </c>
      <c r="R16" s="203">
        <f>10*Описание!E$16</f>
        <v>850000</v>
      </c>
      <c r="S16" s="203">
        <f t="shared" si="6"/>
        <v>0</v>
      </c>
      <c r="T16" s="203">
        <f t="shared" ref="T16:T25" si="10">S16*2%</f>
        <v>0</v>
      </c>
      <c r="U16" s="203">
        <f t="shared" si="2"/>
        <v>0</v>
      </c>
    </row>
    <row r="17" spans="1:21" ht="14.4" customHeight="1" x14ac:dyDescent="0.25">
      <c r="A17" s="116">
        <v>4</v>
      </c>
      <c r="B17" s="117" t="s">
        <v>439</v>
      </c>
      <c r="C17" s="57"/>
      <c r="D17" s="214"/>
      <c r="E17" s="214"/>
      <c r="F17" s="214"/>
      <c r="G17" s="214"/>
      <c r="H17" s="60">
        <f t="shared" si="7"/>
        <v>0</v>
      </c>
      <c r="I17" s="60">
        <f t="shared" si="8"/>
        <v>0</v>
      </c>
      <c r="J17" s="60">
        <f>50*Описание!E$16</f>
        <v>4250000</v>
      </c>
      <c r="K17" s="60">
        <f t="shared" si="9"/>
        <v>425000</v>
      </c>
      <c r="L17" s="60">
        <f t="shared" si="3"/>
        <v>0</v>
      </c>
      <c r="M17" s="109">
        <f>РегистрИПН!O18</f>
        <v>0</v>
      </c>
      <c r="N17" s="175">
        <f>IF(РегистрИПН!N18&lt;=0,(D17+L17),(D17+L17)*M17)</f>
        <v>0</v>
      </c>
      <c r="O17" s="60">
        <f t="shared" si="4"/>
        <v>0</v>
      </c>
      <c r="P17" s="214"/>
      <c r="Q17" s="203">
        <f t="shared" si="5"/>
        <v>0</v>
      </c>
      <c r="R17" s="203">
        <f>10*Описание!E$16</f>
        <v>850000</v>
      </c>
      <c r="S17" s="203">
        <f t="shared" si="6"/>
        <v>0</v>
      </c>
      <c r="T17" s="203">
        <f t="shared" si="10"/>
        <v>0</v>
      </c>
      <c r="U17" s="203">
        <f t="shared" si="2"/>
        <v>0</v>
      </c>
    </row>
    <row r="18" spans="1:21" ht="14.4" customHeight="1" x14ac:dyDescent="0.25">
      <c r="A18" s="116">
        <v>5</v>
      </c>
      <c r="B18" s="117" t="s">
        <v>440</v>
      </c>
      <c r="C18" s="57"/>
      <c r="D18" s="214"/>
      <c r="E18" s="214"/>
      <c r="F18" s="110"/>
      <c r="G18" s="214"/>
      <c r="H18" s="60">
        <f>IF(F18=1,0,E18-G18)</f>
        <v>0</v>
      </c>
      <c r="I18" s="60">
        <f t="shared" si="8"/>
        <v>0</v>
      </c>
      <c r="J18" s="60">
        <f>50*Описание!E$16</f>
        <v>4250000</v>
      </c>
      <c r="K18" s="60">
        <f t="shared" si="9"/>
        <v>425000</v>
      </c>
      <c r="L18" s="60">
        <f t="shared" si="3"/>
        <v>0</v>
      </c>
      <c r="M18" s="109">
        <f>РегистрИПН!O19</f>
        <v>0</v>
      </c>
      <c r="N18" s="175">
        <f>IF(РегистрИПН!N19&lt;=0,(D18+L18),(D18+L18)*M18)</f>
        <v>0</v>
      </c>
      <c r="O18" s="60">
        <f t="shared" si="4"/>
        <v>0</v>
      </c>
      <c r="P18" s="214"/>
      <c r="Q18" s="203">
        <f>E18-P18</f>
        <v>0</v>
      </c>
      <c r="R18" s="203">
        <f>10*Описание!E$16</f>
        <v>850000</v>
      </c>
      <c r="S18" s="203">
        <f t="shared" si="6"/>
        <v>0</v>
      </c>
      <c r="T18" s="203">
        <f t="shared" si="10"/>
        <v>0</v>
      </c>
      <c r="U18" s="203">
        <f t="shared" si="2"/>
        <v>0</v>
      </c>
    </row>
    <row r="19" spans="1:21" ht="14.4" customHeight="1" x14ac:dyDescent="0.25">
      <c r="A19" s="116">
        <v>6</v>
      </c>
      <c r="B19" s="117" t="s">
        <v>441</v>
      </c>
      <c r="C19" s="57"/>
      <c r="D19" s="214"/>
      <c r="E19" s="214"/>
      <c r="F19" s="214"/>
      <c r="G19" s="214"/>
      <c r="H19" s="60">
        <f t="shared" si="7"/>
        <v>0</v>
      </c>
      <c r="I19" s="60">
        <f t="shared" si="8"/>
        <v>0</v>
      </c>
      <c r="J19" s="60">
        <f>50*Описание!E$16</f>
        <v>4250000</v>
      </c>
      <c r="K19" s="60">
        <f t="shared" si="9"/>
        <v>425000</v>
      </c>
      <c r="L19" s="60">
        <f t="shared" si="3"/>
        <v>0</v>
      </c>
      <c r="M19" s="109">
        <f>РегистрИПН!O20</f>
        <v>0</v>
      </c>
      <c r="N19" s="175">
        <f>IF(РегистрИПН!N20&lt;=0,(D19+L19),(D19+L19)*M19)</f>
        <v>0</v>
      </c>
      <c r="O19" s="60">
        <f t="shared" si="4"/>
        <v>0</v>
      </c>
      <c r="P19" s="214"/>
      <c r="Q19" s="203">
        <f t="shared" si="5"/>
        <v>0</v>
      </c>
      <c r="R19" s="203">
        <f>10*Описание!E$16</f>
        <v>850000</v>
      </c>
      <c r="S19" s="203">
        <f t="shared" si="6"/>
        <v>0</v>
      </c>
      <c r="T19" s="203">
        <f t="shared" si="10"/>
        <v>0</v>
      </c>
      <c r="U19" s="203">
        <f t="shared" si="2"/>
        <v>0</v>
      </c>
    </row>
    <row r="20" spans="1:21" ht="14.4" customHeight="1" x14ac:dyDescent="0.25">
      <c r="A20" s="116">
        <v>7</v>
      </c>
      <c r="B20" s="117"/>
      <c r="C20" s="57"/>
      <c r="D20" s="214"/>
      <c r="E20" s="214"/>
      <c r="F20" s="214"/>
      <c r="G20" s="214"/>
      <c r="H20" s="60">
        <f>IF(F20=1,0,E20-G20)</f>
        <v>0</v>
      </c>
      <c r="I20" s="60">
        <f t="shared" si="8"/>
        <v>0</v>
      </c>
      <c r="J20" s="60">
        <f>50*Описание!E$16</f>
        <v>4250000</v>
      </c>
      <c r="K20" s="60">
        <f t="shared" si="9"/>
        <v>425000</v>
      </c>
      <c r="L20" s="60">
        <f t="shared" si="3"/>
        <v>0</v>
      </c>
      <c r="M20" s="109">
        <f>РегистрИПН!O21</f>
        <v>0</v>
      </c>
      <c r="N20" s="175">
        <f>IF(РегистрИПН!N21&lt;=0,(D20+L20),(D20+L20)*M20)</f>
        <v>0</v>
      </c>
      <c r="O20" s="60">
        <f t="shared" si="4"/>
        <v>0</v>
      </c>
      <c r="P20" s="214"/>
      <c r="Q20" s="203">
        <f t="shared" si="5"/>
        <v>0</v>
      </c>
      <c r="R20" s="203">
        <f>10*Описание!E$16</f>
        <v>850000</v>
      </c>
      <c r="S20" s="203">
        <f t="shared" si="6"/>
        <v>0</v>
      </c>
      <c r="T20" s="203">
        <f t="shared" si="10"/>
        <v>0</v>
      </c>
      <c r="U20" s="203">
        <f t="shared" si="2"/>
        <v>0</v>
      </c>
    </row>
    <row r="21" spans="1:21" ht="14.4" customHeight="1" x14ac:dyDescent="0.25">
      <c r="A21" s="116">
        <v>8</v>
      </c>
      <c r="B21" s="117"/>
      <c r="C21" s="57"/>
      <c r="D21" s="214"/>
      <c r="E21" s="214"/>
      <c r="F21" s="214"/>
      <c r="G21" s="214"/>
      <c r="H21" s="60">
        <f t="shared" si="7"/>
        <v>0</v>
      </c>
      <c r="I21" s="60">
        <f t="shared" si="8"/>
        <v>0</v>
      </c>
      <c r="J21" s="60">
        <f>50*Описание!E$16</f>
        <v>4250000</v>
      </c>
      <c r="K21" s="60">
        <f t="shared" si="9"/>
        <v>425000</v>
      </c>
      <c r="L21" s="60">
        <f t="shared" si="3"/>
        <v>0</v>
      </c>
      <c r="M21" s="109">
        <f>РегистрИПН!O22</f>
        <v>0</v>
      </c>
      <c r="N21" s="175">
        <f>IF(РегистрИПН!N22&lt;=0,(D21+L21),(D21+L21)*M21)</f>
        <v>0</v>
      </c>
      <c r="O21" s="60">
        <f t="shared" si="4"/>
        <v>0</v>
      </c>
      <c r="P21" s="214"/>
      <c r="Q21" s="203">
        <f t="shared" si="5"/>
        <v>0</v>
      </c>
      <c r="R21" s="203">
        <f>10*Описание!E$16</f>
        <v>850000</v>
      </c>
      <c r="S21" s="203">
        <f t="shared" si="6"/>
        <v>0</v>
      </c>
      <c r="T21" s="203">
        <f t="shared" si="10"/>
        <v>0</v>
      </c>
      <c r="U21" s="203">
        <f t="shared" si="2"/>
        <v>0</v>
      </c>
    </row>
    <row r="22" spans="1:21" ht="14.4" customHeight="1" x14ac:dyDescent="0.25">
      <c r="A22" s="116">
        <v>9</v>
      </c>
      <c r="B22" s="117"/>
      <c r="C22" s="57"/>
      <c r="D22" s="214"/>
      <c r="E22" s="214"/>
      <c r="F22" s="214"/>
      <c r="G22" s="214"/>
      <c r="H22" s="60">
        <f t="shared" si="7"/>
        <v>0</v>
      </c>
      <c r="I22" s="60">
        <f t="shared" si="8"/>
        <v>0</v>
      </c>
      <c r="J22" s="60">
        <f>50*Описание!E$16</f>
        <v>4250000</v>
      </c>
      <c r="K22" s="60">
        <f t="shared" si="9"/>
        <v>425000</v>
      </c>
      <c r="L22" s="60">
        <f t="shared" si="3"/>
        <v>0</v>
      </c>
      <c r="M22" s="109">
        <f>РегистрИПН!O23</f>
        <v>0</v>
      </c>
      <c r="N22" s="175">
        <f>IF(РегистрИПН!N23&lt;=0,(D22+L22),(D22+L22)*M22)</f>
        <v>0</v>
      </c>
      <c r="O22" s="60">
        <f t="shared" si="4"/>
        <v>0</v>
      </c>
      <c r="P22" s="214"/>
      <c r="Q22" s="203">
        <f t="shared" si="5"/>
        <v>0</v>
      </c>
      <c r="R22" s="203">
        <f>10*Описание!E$16</f>
        <v>850000</v>
      </c>
      <c r="S22" s="203">
        <f t="shared" si="6"/>
        <v>0</v>
      </c>
      <c r="T22" s="203">
        <f t="shared" si="10"/>
        <v>0</v>
      </c>
      <c r="U22" s="203">
        <f t="shared" si="2"/>
        <v>0</v>
      </c>
    </row>
    <row r="23" spans="1:21" ht="14.4" customHeight="1" x14ac:dyDescent="0.25">
      <c r="A23" s="116">
        <v>10</v>
      </c>
      <c r="B23" s="117"/>
      <c r="C23" s="57"/>
      <c r="D23" s="214"/>
      <c r="E23" s="214"/>
      <c r="F23" s="214"/>
      <c r="G23" s="214"/>
      <c r="H23" s="60">
        <f t="shared" si="7"/>
        <v>0</v>
      </c>
      <c r="I23" s="60">
        <f t="shared" si="8"/>
        <v>0</v>
      </c>
      <c r="J23" s="60">
        <f>50*Описание!E$16</f>
        <v>4250000</v>
      </c>
      <c r="K23" s="60">
        <f t="shared" si="9"/>
        <v>425000</v>
      </c>
      <c r="L23" s="60">
        <f t="shared" si="3"/>
        <v>0</v>
      </c>
      <c r="M23" s="109">
        <f>РегистрИПН!O24</f>
        <v>0</v>
      </c>
      <c r="N23" s="175">
        <f>IF(РегистрИПН!N24&lt;=0,(D23+L23),(D23+L23)*M23)</f>
        <v>0</v>
      </c>
      <c r="O23" s="60">
        <f t="shared" si="4"/>
        <v>0</v>
      </c>
      <c r="P23" s="214"/>
      <c r="Q23" s="203">
        <f t="shared" si="5"/>
        <v>0</v>
      </c>
      <c r="R23" s="203">
        <f>10*Описание!E$16</f>
        <v>850000</v>
      </c>
      <c r="S23" s="203">
        <f t="shared" si="6"/>
        <v>0</v>
      </c>
      <c r="T23" s="203">
        <f t="shared" si="10"/>
        <v>0</v>
      </c>
      <c r="U23" s="203">
        <f t="shared" si="2"/>
        <v>0</v>
      </c>
    </row>
    <row r="24" spans="1:21" ht="14.4" customHeight="1" x14ac:dyDescent="0.25">
      <c r="A24" s="116">
        <v>11</v>
      </c>
      <c r="B24" s="117"/>
      <c r="C24" s="57"/>
      <c r="D24" s="214"/>
      <c r="E24" s="214"/>
      <c r="F24" s="214"/>
      <c r="G24" s="214"/>
      <c r="H24" s="60">
        <f t="shared" si="7"/>
        <v>0</v>
      </c>
      <c r="I24" s="60">
        <f t="shared" si="8"/>
        <v>0</v>
      </c>
      <c r="J24" s="60">
        <f>50*Описание!E$16</f>
        <v>4250000</v>
      </c>
      <c r="K24" s="60">
        <f t="shared" si="9"/>
        <v>425000</v>
      </c>
      <c r="L24" s="60">
        <f t="shared" si="3"/>
        <v>0</v>
      </c>
      <c r="M24" s="109">
        <f>РегистрИПН!O25</f>
        <v>0</v>
      </c>
      <c r="N24" s="175">
        <f>IF(РегистрИПН!N25&lt;=0,(D24+L24),(D24+L24)*M24)</f>
        <v>0</v>
      </c>
      <c r="O24" s="60">
        <f t="shared" si="4"/>
        <v>0</v>
      </c>
      <c r="P24" s="214"/>
      <c r="Q24" s="203">
        <f t="shared" si="5"/>
        <v>0</v>
      </c>
      <c r="R24" s="203">
        <f>10*Описание!E$16</f>
        <v>850000</v>
      </c>
      <c r="S24" s="203">
        <f t="shared" si="6"/>
        <v>0</v>
      </c>
      <c r="T24" s="203">
        <f t="shared" si="10"/>
        <v>0</v>
      </c>
      <c r="U24" s="203">
        <f t="shared" si="2"/>
        <v>0</v>
      </c>
    </row>
    <row r="25" spans="1:21" x14ac:dyDescent="0.25">
      <c r="A25" s="116">
        <v>12</v>
      </c>
      <c r="B25" s="57"/>
      <c r="C25" s="57"/>
      <c r="D25" s="214"/>
      <c r="E25" s="214"/>
      <c r="F25" s="214"/>
      <c r="G25" s="214"/>
      <c r="H25" s="60">
        <f t="shared" si="7"/>
        <v>0</v>
      </c>
      <c r="I25" s="60">
        <f t="shared" si="8"/>
        <v>0</v>
      </c>
      <c r="J25" s="60">
        <f>50*Описание!E$16</f>
        <v>4250000</v>
      </c>
      <c r="K25" s="60">
        <f t="shared" si="9"/>
        <v>425000</v>
      </c>
      <c r="L25" s="60">
        <f t="shared" si="3"/>
        <v>0</v>
      </c>
      <c r="M25" s="109">
        <f>РегистрИПН!O26</f>
        <v>0</v>
      </c>
      <c r="N25" s="175">
        <f>IF(РегистрИПН!N26&lt;=0,(D25+L25),(D25+L25)*M25)</f>
        <v>0</v>
      </c>
      <c r="O25" s="60">
        <f t="shared" si="4"/>
        <v>0</v>
      </c>
      <c r="P25" s="214"/>
      <c r="Q25" s="203">
        <f t="shared" si="5"/>
        <v>0</v>
      </c>
      <c r="R25" s="203">
        <f>10*Описание!E$16</f>
        <v>850000</v>
      </c>
      <c r="S25" s="203">
        <f t="shared" si="6"/>
        <v>0</v>
      </c>
      <c r="T25" s="203">
        <f t="shared" si="10"/>
        <v>0</v>
      </c>
      <c r="U25" s="203">
        <f t="shared" si="2"/>
        <v>0</v>
      </c>
    </row>
    <row r="26" spans="1:21" x14ac:dyDescent="0.25">
      <c r="A26" s="118"/>
      <c r="B26" s="23" t="s">
        <v>109</v>
      </c>
      <c r="C26" s="57"/>
      <c r="D26" s="174">
        <f t="shared" ref="D26:T26" si="11">SUM(D27:D38)</f>
        <v>0</v>
      </c>
      <c r="E26" s="174">
        <f t="shared" si="11"/>
        <v>0</v>
      </c>
      <c r="F26" s="174"/>
      <c r="G26" s="174">
        <f t="shared" si="11"/>
        <v>0</v>
      </c>
      <c r="H26" s="174">
        <f t="shared" si="11"/>
        <v>0</v>
      </c>
      <c r="I26" s="174">
        <f t="shared" si="11"/>
        <v>0</v>
      </c>
      <c r="J26" s="174"/>
      <c r="K26" s="174"/>
      <c r="L26" s="174">
        <f t="shared" si="11"/>
        <v>0</v>
      </c>
      <c r="M26" s="108">
        <f t="shared" si="11"/>
        <v>0</v>
      </c>
      <c r="N26" s="174">
        <f t="shared" si="11"/>
        <v>0</v>
      </c>
      <c r="O26" s="174">
        <f t="shared" si="11"/>
        <v>0</v>
      </c>
      <c r="P26" s="174">
        <f t="shared" si="11"/>
        <v>0</v>
      </c>
      <c r="Q26" s="174">
        <f t="shared" si="11"/>
        <v>0</v>
      </c>
      <c r="R26" s="174">
        <f t="shared" si="11"/>
        <v>10200000</v>
      </c>
      <c r="S26" s="174">
        <f t="shared" si="11"/>
        <v>0</v>
      </c>
      <c r="T26" s="225">
        <f t="shared" si="11"/>
        <v>0</v>
      </c>
      <c r="U26" s="225">
        <f>SUM(U27:U38)</f>
        <v>0</v>
      </c>
    </row>
    <row r="27" spans="1:21" ht="13.95" customHeight="1" x14ac:dyDescent="0.25">
      <c r="A27" s="118">
        <v>1</v>
      </c>
      <c r="B27" s="117" t="s">
        <v>436</v>
      </c>
      <c r="C27" s="57"/>
      <c r="D27" s="214"/>
      <c r="E27" s="214"/>
      <c r="F27" s="176"/>
      <c r="G27" s="177"/>
      <c r="H27" s="60">
        <f>IF(F27=1,0,E27-G27)</f>
        <v>0</v>
      </c>
      <c r="I27" s="60">
        <f>H27*$I$12</f>
        <v>0</v>
      </c>
      <c r="J27" s="60">
        <f>50*Описание!E$16</f>
        <v>4250000</v>
      </c>
      <c r="K27" s="60">
        <f>J27*K$12</f>
        <v>425000</v>
      </c>
      <c r="L27" s="60">
        <f>IF(K27&lt;I27,K27,I27)</f>
        <v>0</v>
      </c>
      <c r="M27" s="109">
        <f>РегистрИПН!O28</f>
        <v>0</v>
      </c>
      <c r="N27" s="175">
        <f>IF(РегистрИПН!N28&lt;=0,(D27+L27),(D27+L27)*M27)</f>
        <v>0</v>
      </c>
      <c r="O27" s="60">
        <f t="shared" ref="O27:O38" si="12">D27+L27-N27</f>
        <v>0</v>
      </c>
      <c r="P27" s="214"/>
      <c r="Q27" s="203">
        <f>E27-P27</f>
        <v>0</v>
      </c>
      <c r="R27" s="203">
        <f>10*Описание!E$16</f>
        <v>850000</v>
      </c>
      <c r="S27" s="203">
        <f>IF(Q27&lt;R27,Q27,R27)</f>
        <v>0</v>
      </c>
      <c r="T27" s="203">
        <f>S27*2%</f>
        <v>0</v>
      </c>
      <c r="U27" s="203">
        <f t="shared" ref="U27:U38" si="13">H27*0%</f>
        <v>0</v>
      </c>
    </row>
    <row r="28" spans="1:21" ht="14.4" customHeight="1" x14ac:dyDescent="0.25">
      <c r="A28" s="118">
        <v>2</v>
      </c>
      <c r="B28" s="117" t="s">
        <v>437</v>
      </c>
      <c r="C28" s="57"/>
      <c r="D28" s="214"/>
      <c r="E28" s="214"/>
      <c r="F28" s="214"/>
      <c r="G28" s="214"/>
      <c r="H28" s="60">
        <f>IF(F28=1,0,E28-G28)</f>
        <v>0</v>
      </c>
      <c r="I28" s="60">
        <f t="shared" ref="I28:I38" si="14">H28*$I$12</f>
        <v>0</v>
      </c>
      <c r="J28" s="60">
        <f>50*Описание!E$16</f>
        <v>4250000</v>
      </c>
      <c r="K28" s="60">
        <f t="shared" ref="K28:K38" si="15">J28*K$12</f>
        <v>425000</v>
      </c>
      <c r="L28" s="60">
        <f t="shared" ref="L28:L52" si="16">IF(K28&lt;I28,K28,I28)</f>
        <v>0</v>
      </c>
      <c r="M28" s="109">
        <f>РегистрИПН!O29</f>
        <v>0</v>
      </c>
      <c r="N28" s="175">
        <f>IF(РегистрИПН!N29&lt;=0,(D28+L28),(D28+L28)*M28)</f>
        <v>0</v>
      </c>
      <c r="O28" s="60">
        <f t="shared" si="12"/>
        <v>0</v>
      </c>
      <c r="P28" s="214"/>
      <c r="Q28" s="203">
        <f t="shared" ref="Q28:Q38" si="17">E28-P28</f>
        <v>0</v>
      </c>
      <c r="R28" s="203">
        <f>10*Описание!E$16</f>
        <v>850000</v>
      </c>
      <c r="S28" s="203">
        <f t="shared" ref="S28:S38" si="18">IF(Q28&lt;R28,Q28,R28)</f>
        <v>0</v>
      </c>
      <c r="T28" s="203">
        <f t="shared" ref="T28:T38" si="19">S28*2%</f>
        <v>0</v>
      </c>
      <c r="U28" s="203">
        <f t="shared" si="13"/>
        <v>0</v>
      </c>
    </row>
    <row r="29" spans="1:21" ht="14.4" customHeight="1" x14ac:dyDescent="0.25">
      <c r="A29" s="118">
        <v>3</v>
      </c>
      <c r="B29" s="117" t="s">
        <v>438</v>
      </c>
      <c r="C29" s="57"/>
      <c r="D29" s="214"/>
      <c r="E29" s="214"/>
      <c r="F29" s="178"/>
      <c r="G29" s="214"/>
      <c r="H29" s="60">
        <f t="shared" ref="H29:H38" si="20">IF(F29=1,0,E29-G29)</f>
        <v>0</v>
      </c>
      <c r="I29" s="60">
        <f t="shared" si="14"/>
        <v>0</v>
      </c>
      <c r="J29" s="60">
        <f>50*Описание!E$16</f>
        <v>4250000</v>
      </c>
      <c r="K29" s="60">
        <f t="shared" si="15"/>
        <v>425000</v>
      </c>
      <c r="L29" s="60">
        <f>IF(K29&lt;I29,K29,I29)</f>
        <v>0</v>
      </c>
      <c r="M29" s="109">
        <f>РегистрИПН!O30</f>
        <v>0</v>
      </c>
      <c r="N29" s="175">
        <f>IF(РегистрИПН!N30&lt;=0,(D29+L29),(D29+L29)*M29)</f>
        <v>0</v>
      </c>
      <c r="O29" s="60">
        <f>D29+L29-N29</f>
        <v>0</v>
      </c>
      <c r="P29" s="214"/>
      <c r="Q29" s="203">
        <f t="shared" si="17"/>
        <v>0</v>
      </c>
      <c r="R29" s="203">
        <f>10*Описание!E$16</f>
        <v>850000</v>
      </c>
      <c r="S29" s="203">
        <f t="shared" si="18"/>
        <v>0</v>
      </c>
      <c r="T29" s="203">
        <f t="shared" si="19"/>
        <v>0</v>
      </c>
      <c r="U29" s="203">
        <f t="shared" si="13"/>
        <v>0</v>
      </c>
    </row>
    <row r="30" spans="1:21" ht="14.4" customHeight="1" x14ac:dyDescent="0.25">
      <c r="A30" s="118">
        <v>4</v>
      </c>
      <c r="B30" s="117" t="s">
        <v>439</v>
      </c>
      <c r="C30" s="57"/>
      <c r="D30" s="214"/>
      <c r="E30" s="214"/>
      <c r="F30" s="178"/>
      <c r="G30" s="214"/>
      <c r="H30" s="60">
        <f t="shared" si="20"/>
        <v>0</v>
      </c>
      <c r="I30" s="60">
        <f t="shared" si="14"/>
        <v>0</v>
      </c>
      <c r="J30" s="60">
        <f>50*Описание!E$16</f>
        <v>4250000</v>
      </c>
      <c r="K30" s="60">
        <f t="shared" si="15"/>
        <v>425000</v>
      </c>
      <c r="L30" s="60">
        <f t="shared" si="16"/>
        <v>0</v>
      </c>
      <c r="M30" s="109">
        <f>РегистрИПН!O31</f>
        <v>0</v>
      </c>
      <c r="N30" s="175">
        <f>IF(РегистрИПН!N31&lt;=0,(D30+L30),(D30+L30)*M30)</f>
        <v>0</v>
      </c>
      <c r="O30" s="60">
        <f t="shared" si="12"/>
        <v>0</v>
      </c>
      <c r="P30" s="214"/>
      <c r="Q30" s="203">
        <f t="shared" si="17"/>
        <v>0</v>
      </c>
      <c r="R30" s="203">
        <f>10*Описание!E$16</f>
        <v>850000</v>
      </c>
      <c r="S30" s="203">
        <f>IF(Q30&lt;R30,Q30,R30)</f>
        <v>0</v>
      </c>
      <c r="T30" s="203">
        <f t="shared" si="19"/>
        <v>0</v>
      </c>
      <c r="U30" s="203">
        <f t="shared" si="13"/>
        <v>0</v>
      </c>
    </row>
    <row r="31" spans="1:21" ht="14.4" customHeight="1" x14ac:dyDescent="0.25">
      <c r="A31" s="118">
        <v>5</v>
      </c>
      <c r="B31" s="117" t="s">
        <v>440</v>
      </c>
      <c r="C31" s="57"/>
      <c r="D31" s="214"/>
      <c r="E31" s="214"/>
      <c r="F31" s="178"/>
      <c r="G31" s="214"/>
      <c r="H31" s="60">
        <f t="shared" si="20"/>
        <v>0</v>
      </c>
      <c r="I31" s="60">
        <f t="shared" si="14"/>
        <v>0</v>
      </c>
      <c r="J31" s="60">
        <f>50*Описание!E$16</f>
        <v>4250000</v>
      </c>
      <c r="K31" s="60">
        <f t="shared" si="15"/>
        <v>425000</v>
      </c>
      <c r="L31" s="60">
        <f t="shared" si="16"/>
        <v>0</v>
      </c>
      <c r="M31" s="109">
        <f>РегистрИПН!O32</f>
        <v>0</v>
      </c>
      <c r="N31" s="175">
        <f>IF(РегистрИПН!N32&lt;=0,(D31+L31),(D31+L31)*M31)</f>
        <v>0</v>
      </c>
      <c r="O31" s="60">
        <f t="shared" si="12"/>
        <v>0</v>
      </c>
      <c r="P31" s="214"/>
      <c r="Q31" s="203">
        <f>E31-P31</f>
        <v>0</v>
      </c>
      <c r="R31" s="203">
        <f>10*Описание!E$16</f>
        <v>850000</v>
      </c>
      <c r="S31" s="203">
        <f t="shared" si="18"/>
        <v>0</v>
      </c>
      <c r="T31" s="203">
        <f t="shared" si="19"/>
        <v>0</v>
      </c>
      <c r="U31" s="203">
        <f t="shared" si="13"/>
        <v>0</v>
      </c>
    </row>
    <row r="32" spans="1:21" ht="14.4" customHeight="1" x14ac:dyDescent="0.25">
      <c r="A32" s="118">
        <v>6</v>
      </c>
      <c r="B32" s="117" t="s">
        <v>441</v>
      </c>
      <c r="C32" s="57"/>
      <c r="D32" s="214"/>
      <c r="E32" s="214"/>
      <c r="F32" s="178"/>
      <c r="G32" s="214"/>
      <c r="H32" s="60">
        <f t="shared" si="20"/>
        <v>0</v>
      </c>
      <c r="I32" s="60">
        <f>H32*$I$12</f>
        <v>0</v>
      </c>
      <c r="J32" s="60">
        <f>50*Описание!E$16</f>
        <v>4250000</v>
      </c>
      <c r="K32" s="60">
        <f t="shared" si="15"/>
        <v>425000</v>
      </c>
      <c r="L32" s="60">
        <f t="shared" si="16"/>
        <v>0</v>
      </c>
      <c r="M32" s="109">
        <f>РегистрИПН!O33</f>
        <v>0</v>
      </c>
      <c r="N32" s="175">
        <f>IF(РегистрИПН!N33&lt;=0,(D32+L32),(D32+L32)*M32)</f>
        <v>0</v>
      </c>
      <c r="O32" s="60">
        <f t="shared" si="12"/>
        <v>0</v>
      </c>
      <c r="P32" s="214"/>
      <c r="Q32" s="203">
        <f t="shared" si="17"/>
        <v>0</v>
      </c>
      <c r="R32" s="203">
        <f>10*Описание!E$16</f>
        <v>850000</v>
      </c>
      <c r="S32" s="203">
        <f t="shared" si="18"/>
        <v>0</v>
      </c>
      <c r="T32" s="203">
        <f t="shared" si="19"/>
        <v>0</v>
      </c>
      <c r="U32" s="203">
        <f t="shared" si="13"/>
        <v>0</v>
      </c>
    </row>
    <row r="33" spans="1:21" ht="14.4" customHeight="1" x14ac:dyDescent="0.25">
      <c r="A33" s="118">
        <v>7</v>
      </c>
      <c r="B33" s="117"/>
      <c r="C33" s="57"/>
      <c r="D33" s="214"/>
      <c r="E33" s="179"/>
      <c r="F33" s="178"/>
      <c r="G33" s="214"/>
      <c r="H33" s="60">
        <f t="shared" si="20"/>
        <v>0</v>
      </c>
      <c r="I33" s="60">
        <f t="shared" si="14"/>
        <v>0</v>
      </c>
      <c r="J33" s="60">
        <f>50*Описание!E$16</f>
        <v>4250000</v>
      </c>
      <c r="K33" s="60">
        <f t="shared" si="15"/>
        <v>425000</v>
      </c>
      <c r="L33" s="60">
        <f t="shared" si="16"/>
        <v>0</v>
      </c>
      <c r="M33" s="109">
        <f>РегистрИПН!O34</f>
        <v>0</v>
      </c>
      <c r="N33" s="175">
        <f>IF(РегистрИПН!N34&lt;=0,(D33+L33),(D33+L33)*M33)</f>
        <v>0</v>
      </c>
      <c r="O33" s="60">
        <f t="shared" si="12"/>
        <v>0</v>
      </c>
      <c r="P33" s="214"/>
      <c r="Q33" s="203">
        <f t="shared" si="17"/>
        <v>0</v>
      </c>
      <c r="R33" s="203">
        <f>10*Описание!E$16</f>
        <v>850000</v>
      </c>
      <c r="S33" s="203">
        <f t="shared" si="18"/>
        <v>0</v>
      </c>
      <c r="T33" s="203">
        <f t="shared" si="19"/>
        <v>0</v>
      </c>
      <c r="U33" s="203">
        <f t="shared" si="13"/>
        <v>0</v>
      </c>
    </row>
    <row r="34" spans="1:21" ht="14.4" customHeight="1" x14ac:dyDescent="0.25">
      <c r="A34" s="118">
        <v>8</v>
      </c>
      <c r="B34" s="117"/>
      <c r="C34" s="57"/>
      <c r="D34" s="214"/>
      <c r="E34" s="179"/>
      <c r="F34" s="178"/>
      <c r="G34" s="214"/>
      <c r="H34" s="60">
        <f t="shared" si="20"/>
        <v>0</v>
      </c>
      <c r="I34" s="60">
        <f t="shared" si="14"/>
        <v>0</v>
      </c>
      <c r="J34" s="60">
        <f>50*Описание!E$16</f>
        <v>4250000</v>
      </c>
      <c r="K34" s="60">
        <f t="shared" si="15"/>
        <v>425000</v>
      </c>
      <c r="L34" s="60">
        <f t="shared" si="16"/>
        <v>0</v>
      </c>
      <c r="M34" s="109">
        <f>РегистрИПН!O35</f>
        <v>0</v>
      </c>
      <c r="N34" s="175">
        <f>IF(РегистрИПН!N35&lt;=0,(D34+L34),(D34+L34)*M34)</f>
        <v>0</v>
      </c>
      <c r="O34" s="60">
        <f t="shared" si="12"/>
        <v>0</v>
      </c>
      <c r="P34" s="214"/>
      <c r="Q34" s="203">
        <f t="shared" si="17"/>
        <v>0</v>
      </c>
      <c r="R34" s="203">
        <f>10*Описание!E$16</f>
        <v>850000</v>
      </c>
      <c r="S34" s="203">
        <f t="shared" si="18"/>
        <v>0</v>
      </c>
      <c r="T34" s="203">
        <f t="shared" si="19"/>
        <v>0</v>
      </c>
      <c r="U34" s="203">
        <f t="shared" si="13"/>
        <v>0</v>
      </c>
    </row>
    <row r="35" spans="1:21" ht="14.4" customHeight="1" x14ac:dyDescent="0.25">
      <c r="A35" s="118">
        <v>9</v>
      </c>
      <c r="B35" s="117"/>
      <c r="C35" s="57"/>
      <c r="D35" s="214"/>
      <c r="E35" s="179"/>
      <c r="F35" s="178"/>
      <c r="G35" s="214"/>
      <c r="H35" s="60">
        <f t="shared" si="20"/>
        <v>0</v>
      </c>
      <c r="I35" s="60">
        <f t="shared" si="14"/>
        <v>0</v>
      </c>
      <c r="J35" s="60">
        <f>50*Описание!E$16</f>
        <v>4250000</v>
      </c>
      <c r="K35" s="60">
        <f t="shared" si="15"/>
        <v>425000</v>
      </c>
      <c r="L35" s="60">
        <f t="shared" si="16"/>
        <v>0</v>
      </c>
      <c r="M35" s="109">
        <f>РегистрИПН!O36</f>
        <v>0</v>
      </c>
      <c r="N35" s="175">
        <f>IF(РегистрИПН!N36&lt;=0,(D35+L35),(D35+L35)*M35)</f>
        <v>0</v>
      </c>
      <c r="O35" s="60">
        <f t="shared" si="12"/>
        <v>0</v>
      </c>
      <c r="P35" s="214"/>
      <c r="Q35" s="203">
        <f t="shared" si="17"/>
        <v>0</v>
      </c>
      <c r="R35" s="203">
        <f>10*Описание!E$16</f>
        <v>850000</v>
      </c>
      <c r="S35" s="203">
        <f t="shared" si="18"/>
        <v>0</v>
      </c>
      <c r="T35" s="203">
        <f t="shared" si="19"/>
        <v>0</v>
      </c>
      <c r="U35" s="203">
        <f t="shared" si="13"/>
        <v>0</v>
      </c>
    </row>
    <row r="36" spans="1:21" ht="14.4" customHeight="1" x14ac:dyDescent="0.25">
      <c r="A36" s="118">
        <v>10</v>
      </c>
      <c r="B36" s="117"/>
      <c r="C36" s="57"/>
      <c r="D36" s="214"/>
      <c r="E36" s="179"/>
      <c r="F36" s="178"/>
      <c r="G36" s="180"/>
      <c r="H36" s="60">
        <f t="shared" si="20"/>
        <v>0</v>
      </c>
      <c r="I36" s="60">
        <f t="shared" si="14"/>
        <v>0</v>
      </c>
      <c r="J36" s="60">
        <f>50*Описание!E$16</f>
        <v>4250000</v>
      </c>
      <c r="K36" s="60">
        <f t="shared" si="15"/>
        <v>425000</v>
      </c>
      <c r="L36" s="60">
        <f t="shared" si="16"/>
        <v>0</v>
      </c>
      <c r="M36" s="109">
        <f>РегистрИПН!O37</f>
        <v>0</v>
      </c>
      <c r="N36" s="175">
        <f>IF(РегистрИПН!N37&lt;=0,(D36+L36),(D36+L36)*M36)</f>
        <v>0</v>
      </c>
      <c r="O36" s="60">
        <f t="shared" si="12"/>
        <v>0</v>
      </c>
      <c r="P36" s="214"/>
      <c r="Q36" s="203">
        <f t="shared" si="17"/>
        <v>0</v>
      </c>
      <c r="R36" s="203">
        <f>10*Описание!E$16</f>
        <v>850000</v>
      </c>
      <c r="S36" s="203">
        <f t="shared" si="18"/>
        <v>0</v>
      </c>
      <c r="T36" s="203">
        <f t="shared" si="19"/>
        <v>0</v>
      </c>
      <c r="U36" s="203">
        <f t="shared" si="13"/>
        <v>0</v>
      </c>
    </row>
    <row r="37" spans="1:21" ht="14.4" customHeight="1" x14ac:dyDescent="0.25">
      <c r="A37" s="118">
        <v>11</v>
      </c>
      <c r="B37" s="117"/>
      <c r="C37" s="57"/>
      <c r="D37" s="214"/>
      <c r="E37" s="179"/>
      <c r="F37" s="178"/>
      <c r="G37" s="181"/>
      <c r="H37" s="60">
        <f t="shared" si="20"/>
        <v>0</v>
      </c>
      <c r="I37" s="60">
        <f t="shared" si="14"/>
        <v>0</v>
      </c>
      <c r="J37" s="60">
        <f>50*Описание!E$16</f>
        <v>4250000</v>
      </c>
      <c r="K37" s="60">
        <f t="shared" si="15"/>
        <v>425000</v>
      </c>
      <c r="L37" s="60">
        <f t="shared" si="16"/>
        <v>0</v>
      </c>
      <c r="M37" s="109">
        <f>РегистрИПН!O38</f>
        <v>0</v>
      </c>
      <c r="N37" s="175">
        <f>IF(РегистрИПН!N38&lt;=0,(D37+L37),(D37+L37)*M37)</f>
        <v>0</v>
      </c>
      <c r="O37" s="60">
        <f t="shared" si="12"/>
        <v>0</v>
      </c>
      <c r="P37" s="214"/>
      <c r="Q37" s="203">
        <f t="shared" si="17"/>
        <v>0</v>
      </c>
      <c r="R37" s="203">
        <f>10*Описание!E$16</f>
        <v>850000</v>
      </c>
      <c r="S37" s="203">
        <f t="shared" si="18"/>
        <v>0</v>
      </c>
      <c r="T37" s="203">
        <f t="shared" si="19"/>
        <v>0</v>
      </c>
      <c r="U37" s="203">
        <f t="shared" si="13"/>
        <v>0</v>
      </c>
    </row>
    <row r="38" spans="1:21" x14ac:dyDescent="0.25">
      <c r="A38" s="118">
        <v>12</v>
      </c>
      <c r="B38" s="117"/>
      <c r="C38" s="57"/>
      <c r="D38" s="214"/>
      <c r="E38" s="179"/>
      <c r="F38" s="178"/>
      <c r="G38" s="180"/>
      <c r="H38" s="60">
        <f t="shared" si="20"/>
        <v>0</v>
      </c>
      <c r="I38" s="60">
        <f t="shared" si="14"/>
        <v>0</v>
      </c>
      <c r="J38" s="60">
        <f>50*Описание!E$16</f>
        <v>4250000</v>
      </c>
      <c r="K38" s="60">
        <f t="shared" si="15"/>
        <v>425000</v>
      </c>
      <c r="L38" s="60">
        <f t="shared" si="16"/>
        <v>0</v>
      </c>
      <c r="M38" s="109">
        <f>РегистрИПН!O39</f>
        <v>0</v>
      </c>
      <c r="N38" s="175">
        <f>IF(РегистрИПН!N39&lt;=0,(D38+L38),(D38+L38)*M38)</f>
        <v>0</v>
      </c>
      <c r="O38" s="60">
        <f t="shared" si="12"/>
        <v>0</v>
      </c>
      <c r="P38" s="214"/>
      <c r="Q38" s="203">
        <f t="shared" si="17"/>
        <v>0</v>
      </c>
      <c r="R38" s="203">
        <f>10*Описание!E$16</f>
        <v>850000</v>
      </c>
      <c r="S38" s="203">
        <f t="shared" si="18"/>
        <v>0</v>
      </c>
      <c r="T38" s="203">
        <f t="shared" si="19"/>
        <v>0</v>
      </c>
      <c r="U38" s="203">
        <f t="shared" si="13"/>
        <v>0</v>
      </c>
    </row>
    <row r="39" spans="1:21" x14ac:dyDescent="0.25">
      <c r="A39" s="118"/>
      <c r="B39" s="23" t="s">
        <v>110</v>
      </c>
      <c r="C39" s="57"/>
      <c r="D39" s="174">
        <f>SUM(D40:D52)</f>
        <v>0</v>
      </c>
      <c r="E39" s="174">
        <f t="shared" ref="E39:T39" si="21">SUM(E40:E52)</f>
        <v>0</v>
      </c>
      <c r="F39" s="174"/>
      <c r="G39" s="174">
        <f t="shared" si="21"/>
        <v>0</v>
      </c>
      <c r="H39" s="174">
        <f t="shared" si="21"/>
        <v>0</v>
      </c>
      <c r="I39" s="174">
        <f t="shared" si="21"/>
        <v>0</v>
      </c>
      <c r="J39" s="174"/>
      <c r="K39" s="174"/>
      <c r="L39" s="174">
        <f t="shared" si="21"/>
        <v>0</v>
      </c>
      <c r="M39" s="108">
        <f t="shared" si="21"/>
        <v>0</v>
      </c>
      <c r="N39" s="174">
        <f t="shared" si="21"/>
        <v>0</v>
      </c>
      <c r="O39" s="174">
        <f t="shared" si="21"/>
        <v>0</v>
      </c>
      <c r="P39" s="174">
        <f t="shared" si="21"/>
        <v>0</v>
      </c>
      <c r="Q39" s="174">
        <f>SUM(Q40:Q52)</f>
        <v>0</v>
      </c>
      <c r="R39" s="174">
        <f>SUM(R40:R52)</f>
        <v>11050000</v>
      </c>
      <c r="S39" s="174">
        <f>SUM(S40:S52)</f>
        <v>0</v>
      </c>
      <c r="T39" s="225">
        <f t="shared" si="21"/>
        <v>0</v>
      </c>
      <c r="U39" s="225">
        <f>SUM(U40:U52)</f>
        <v>0</v>
      </c>
    </row>
    <row r="40" spans="1:21" x14ac:dyDescent="0.25">
      <c r="A40" s="116">
        <v>1</v>
      </c>
      <c r="B40" s="117" t="s">
        <v>436</v>
      </c>
      <c r="C40" s="57"/>
      <c r="D40" s="214"/>
      <c r="E40" s="214"/>
      <c r="F40" s="176"/>
      <c r="G40" s="177"/>
      <c r="H40" s="60">
        <f>IF(F40=1,0,E40-G40)</f>
        <v>0</v>
      </c>
      <c r="I40" s="60">
        <f>H40*$I$12</f>
        <v>0</v>
      </c>
      <c r="J40" s="60">
        <f>50*Описание!E$16</f>
        <v>4250000</v>
      </c>
      <c r="K40" s="60">
        <f>J40*K$12</f>
        <v>425000</v>
      </c>
      <c r="L40" s="60">
        <f t="shared" si="16"/>
        <v>0</v>
      </c>
      <c r="M40" s="109">
        <f>РегистрИПН!O41</f>
        <v>0</v>
      </c>
      <c r="N40" s="175">
        <f>IF(РегистрИПН!N41&lt;=0,(D40+L40),(D40+L40)*M40)</f>
        <v>0</v>
      </c>
      <c r="O40" s="60">
        <f t="shared" ref="O40:O52" si="22">D40+L40-N40</f>
        <v>0</v>
      </c>
      <c r="P40" s="214"/>
      <c r="Q40" s="203">
        <f>E40-P40</f>
        <v>0</v>
      </c>
      <c r="R40" s="203">
        <f>10*Описание!E$16</f>
        <v>850000</v>
      </c>
      <c r="S40" s="203">
        <f>IF(Q40&lt;R40,Q40,R40)</f>
        <v>0</v>
      </c>
      <c r="T40" s="203">
        <f>S40*2%</f>
        <v>0</v>
      </c>
      <c r="U40" s="203">
        <f t="shared" ref="U40:U52" si="23">H40*0%</f>
        <v>0</v>
      </c>
    </row>
    <row r="41" spans="1:21" x14ac:dyDescent="0.25">
      <c r="A41" s="118">
        <v>2</v>
      </c>
      <c r="B41" s="117" t="s">
        <v>437</v>
      </c>
      <c r="C41" s="57"/>
      <c r="D41" s="214"/>
      <c r="E41" s="214"/>
      <c r="F41" s="214"/>
      <c r="G41" s="214"/>
      <c r="H41" s="60">
        <f>IF(F41=1,0,E41-G41)</f>
        <v>0</v>
      </c>
      <c r="I41" s="60">
        <f t="shared" ref="I41:I52" si="24">H41*$I$12</f>
        <v>0</v>
      </c>
      <c r="J41" s="60">
        <f>50*Описание!E$16</f>
        <v>4250000</v>
      </c>
      <c r="K41" s="60">
        <f t="shared" ref="K41:K52" si="25">J41*K$12</f>
        <v>425000</v>
      </c>
      <c r="L41" s="60">
        <f>IF(K41&lt;I41,K41,I41)</f>
        <v>0</v>
      </c>
      <c r="M41" s="109">
        <f>РегистрИПН!O42</f>
        <v>0</v>
      </c>
      <c r="N41" s="175">
        <f>IF(РегистрИПН!N42&lt;=0,(D41+L41),(D41+L41)*M41)</f>
        <v>0</v>
      </c>
      <c r="O41" s="60">
        <f t="shared" si="22"/>
        <v>0</v>
      </c>
      <c r="P41" s="214"/>
      <c r="Q41" s="203">
        <f t="shared" ref="Q41:Q51" si="26">E41-P41</f>
        <v>0</v>
      </c>
      <c r="R41" s="203">
        <f>10*Описание!E$16</f>
        <v>850000</v>
      </c>
      <c r="S41" s="203">
        <f t="shared" ref="S41:S51" si="27">IF(Q41&lt;R41,Q41,R41)</f>
        <v>0</v>
      </c>
      <c r="T41" s="203">
        <f t="shared" ref="T41:T52" si="28">S41*2%</f>
        <v>0</v>
      </c>
      <c r="U41" s="203">
        <f t="shared" si="23"/>
        <v>0</v>
      </c>
    </row>
    <row r="42" spans="1:21" x14ac:dyDescent="0.25">
      <c r="A42" s="116">
        <v>3</v>
      </c>
      <c r="B42" s="117" t="s">
        <v>438</v>
      </c>
      <c r="C42" s="57"/>
      <c r="D42" s="214"/>
      <c r="E42" s="214"/>
      <c r="F42" s="178"/>
      <c r="G42" s="214"/>
      <c r="H42" s="60">
        <f t="shared" ref="H42:H52" si="29">IF(F42=1,0,E42-G42)</f>
        <v>0</v>
      </c>
      <c r="I42" s="60">
        <f t="shared" si="24"/>
        <v>0</v>
      </c>
      <c r="J42" s="60">
        <f>50*Описание!E$16</f>
        <v>4250000</v>
      </c>
      <c r="K42" s="60">
        <f t="shared" si="25"/>
        <v>425000</v>
      </c>
      <c r="L42" s="60">
        <f t="shared" si="16"/>
        <v>0</v>
      </c>
      <c r="M42" s="109">
        <f>РегистрИПН!O43</f>
        <v>0</v>
      </c>
      <c r="N42" s="175">
        <f>IF(РегистрИПН!N43&lt;=0,(D42+L42),(D42+L42)*M42)</f>
        <v>0</v>
      </c>
      <c r="O42" s="60">
        <f t="shared" si="22"/>
        <v>0</v>
      </c>
      <c r="P42" s="214"/>
      <c r="Q42" s="203">
        <f t="shared" si="26"/>
        <v>0</v>
      </c>
      <c r="R42" s="203">
        <f>10*Описание!E$16</f>
        <v>850000</v>
      </c>
      <c r="S42" s="203">
        <f>IF(Q42&lt;R42,Q42,R42)</f>
        <v>0</v>
      </c>
      <c r="T42" s="203">
        <f t="shared" si="28"/>
        <v>0</v>
      </c>
      <c r="U42" s="203">
        <f t="shared" si="23"/>
        <v>0</v>
      </c>
    </row>
    <row r="43" spans="1:21" x14ac:dyDescent="0.25">
      <c r="A43" s="116">
        <v>4</v>
      </c>
      <c r="B43" s="117" t="s">
        <v>439</v>
      </c>
      <c r="C43" s="57"/>
      <c r="D43" s="214"/>
      <c r="E43" s="214"/>
      <c r="F43" s="178"/>
      <c r="G43" s="214"/>
      <c r="H43" s="60">
        <f t="shared" si="29"/>
        <v>0</v>
      </c>
      <c r="I43" s="60">
        <f t="shared" si="24"/>
        <v>0</v>
      </c>
      <c r="J43" s="60">
        <f>50*Описание!E$16</f>
        <v>4250000</v>
      </c>
      <c r="K43" s="60">
        <f t="shared" si="25"/>
        <v>425000</v>
      </c>
      <c r="L43" s="60">
        <f t="shared" si="16"/>
        <v>0</v>
      </c>
      <c r="M43" s="109">
        <f>РегистрИПН!O44</f>
        <v>0</v>
      </c>
      <c r="N43" s="175">
        <f>IF(РегистрИПН!N44&lt;=0,(D43+L43),(D43+L43)*M43)</f>
        <v>0</v>
      </c>
      <c r="O43" s="60">
        <f t="shared" si="22"/>
        <v>0</v>
      </c>
      <c r="P43" s="214"/>
      <c r="Q43" s="203">
        <f t="shared" si="26"/>
        <v>0</v>
      </c>
      <c r="R43" s="203">
        <f>10*Описание!E$16</f>
        <v>850000</v>
      </c>
      <c r="S43" s="203">
        <f t="shared" si="27"/>
        <v>0</v>
      </c>
      <c r="T43" s="203">
        <f t="shared" si="28"/>
        <v>0</v>
      </c>
      <c r="U43" s="203">
        <f t="shared" si="23"/>
        <v>0</v>
      </c>
    </row>
    <row r="44" spans="1:21" x14ac:dyDescent="0.25">
      <c r="A44" s="116">
        <v>5</v>
      </c>
      <c r="B44" s="117" t="s">
        <v>440</v>
      </c>
      <c r="C44" s="57"/>
      <c r="D44" s="214"/>
      <c r="E44" s="214"/>
      <c r="F44" s="178"/>
      <c r="G44" s="214"/>
      <c r="H44" s="60">
        <f t="shared" si="29"/>
        <v>0</v>
      </c>
      <c r="I44" s="60">
        <f t="shared" si="24"/>
        <v>0</v>
      </c>
      <c r="J44" s="60">
        <f>50*Описание!E$16</f>
        <v>4250000</v>
      </c>
      <c r="K44" s="60">
        <f t="shared" si="25"/>
        <v>425000</v>
      </c>
      <c r="L44" s="60">
        <f t="shared" si="16"/>
        <v>0</v>
      </c>
      <c r="M44" s="109">
        <f>РегистрИПН!O45</f>
        <v>0</v>
      </c>
      <c r="N44" s="175">
        <f>IF(РегистрИПН!N45&lt;=0,(D44+L44),(D44+L44)*M44)</f>
        <v>0</v>
      </c>
      <c r="O44" s="60">
        <f t="shared" si="22"/>
        <v>0</v>
      </c>
      <c r="P44" s="214"/>
      <c r="Q44" s="203">
        <f t="shared" si="26"/>
        <v>0</v>
      </c>
      <c r="R44" s="203">
        <f>10*Описание!E$16</f>
        <v>850000</v>
      </c>
      <c r="S44" s="203">
        <f t="shared" si="27"/>
        <v>0</v>
      </c>
      <c r="T44" s="203">
        <f t="shared" si="28"/>
        <v>0</v>
      </c>
      <c r="U44" s="203">
        <f t="shared" si="23"/>
        <v>0</v>
      </c>
    </row>
    <row r="45" spans="1:21" x14ac:dyDescent="0.25">
      <c r="A45" s="116">
        <v>6</v>
      </c>
      <c r="B45" s="117" t="s">
        <v>441</v>
      </c>
      <c r="C45" s="57"/>
      <c r="D45" s="214"/>
      <c r="E45" s="214"/>
      <c r="F45" s="178"/>
      <c r="G45" s="214"/>
      <c r="H45" s="60">
        <f t="shared" si="29"/>
        <v>0</v>
      </c>
      <c r="I45" s="60">
        <f t="shared" si="24"/>
        <v>0</v>
      </c>
      <c r="J45" s="60">
        <f>50*Описание!E$16</f>
        <v>4250000</v>
      </c>
      <c r="K45" s="60">
        <f t="shared" si="25"/>
        <v>425000</v>
      </c>
      <c r="L45" s="60">
        <f t="shared" si="16"/>
        <v>0</v>
      </c>
      <c r="M45" s="109">
        <f>РегистрИПН!O46</f>
        <v>0</v>
      </c>
      <c r="N45" s="175">
        <f>IF(РегистрИПН!N46&lt;=0,(D45+L45),(D45+L45)*M45)</f>
        <v>0</v>
      </c>
      <c r="O45" s="60">
        <f t="shared" si="22"/>
        <v>0</v>
      </c>
      <c r="P45" s="214"/>
      <c r="Q45" s="203">
        <f t="shared" si="26"/>
        <v>0</v>
      </c>
      <c r="R45" s="203">
        <f>10*Описание!E$16</f>
        <v>850000</v>
      </c>
      <c r="S45" s="203">
        <f t="shared" si="27"/>
        <v>0</v>
      </c>
      <c r="T45" s="203">
        <f t="shared" si="28"/>
        <v>0</v>
      </c>
      <c r="U45" s="203">
        <f t="shared" si="23"/>
        <v>0</v>
      </c>
    </row>
    <row r="46" spans="1:21" x14ac:dyDescent="0.25">
      <c r="A46" s="118">
        <v>7</v>
      </c>
      <c r="B46" s="117"/>
      <c r="C46" s="57"/>
      <c r="D46" s="214"/>
      <c r="E46" s="182"/>
      <c r="F46" s="183"/>
      <c r="G46" s="214"/>
      <c r="H46" s="60">
        <f t="shared" si="29"/>
        <v>0</v>
      </c>
      <c r="I46" s="60">
        <f t="shared" si="24"/>
        <v>0</v>
      </c>
      <c r="J46" s="60">
        <f>50*Описание!E$16</f>
        <v>4250000</v>
      </c>
      <c r="K46" s="60">
        <f t="shared" si="25"/>
        <v>425000</v>
      </c>
      <c r="L46" s="60">
        <f t="shared" si="16"/>
        <v>0</v>
      </c>
      <c r="M46" s="109">
        <f>РегистрИПН!O47</f>
        <v>0</v>
      </c>
      <c r="N46" s="175">
        <f>IF(РегистрИПН!N47&lt;=0,(D46+L46),(D46+L46)*M46)</f>
        <v>0</v>
      </c>
      <c r="O46" s="60">
        <f t="shared" si="22"/>
        <v>0</v>
      </c>
      <c r="P46" s="214"/>
      <c r="Q46" s="203">
        <f t="shared" si="26"/>
        <v>0</v>
      </c>
      <c r="R46" s="203">
        <f>10*Описание!E$16</f>
        <v>850000</v>
      </c>
      <c r="S46" s="203">
        <f t="shared" si="27"/>
        <v>0</v>
      </c>
      <c r="T46" s="203">
        <f t="shared" si="28"/>
        <v>0</v>
      </c>
      <c r="U46" s="203">
        <f t="shared" si="23"/>
        <v>0</v>
      </c>
    </row>
    <row r="47" spans="1:21" x14ac:dyDescent="0.25">
      <c r="A47" s="116">
        <v>8</v>
      </c>
      <c r="B47" s="117"/>
      <c r="C47" s="57"/>
      <c r="D47" s="214"/>
      <c r="E47" s="179"/>
      <c r="F47" s="178"/>
      <c r="G47" s="214"/>
      <c r="H47" s="60">
        <f t="shared" si="29"/>
        <v>0</v>
      </c>
      <c r="I47" s="60">
        <f t="shared" si="24"/>
        <v>0</v>
      </c>
      <c r="J47" s="60">
        <f>50*Описание!E$16</f>
        <v>4250000</v>
      </c>
      <c r="K47" s="60">
        <f t="shared" si="25"/>
        <v>425000</v>
      </c>
      <c r="L47" s="60">
        <f t="shared" si="16"/>
        <v>0</v>
      </c>
      <c r="M47" s="109">
        <f>РегистрИПН!O48</f>
        <v>0</v>
      </c>
      <c r="N47" s="175">
        <f>IF(РегистрИПН!N48&lt;=0,(D47+L47),(D47+L47)*M47)</f>
        <v>0</v>
      </c>
      <c r="O47" s="60">
        <f t="shared" si="22"/>
        <v>0</v>
      </c>
      <c r="P47" s="214"/>
      <c r="Q47" s="203">
        <f t="shared" si="26"/>
        <v>0</v>
      </c>
      <c r="R47" s="203">
        <f>10*Описание!E$16</f>
        <v>850000</v>
      </c>
      <c r="S47" s="203">
        <f t="shared" si="27"/>
        <v>0</v>
      </c>
      <c r="T47" s="203">
        <f t="shared" si="28"/>
        <v>0</v>
      </c>
      <c r="U47" s="203">
        <f t="shared" si="23"/>
        <v>0</v>
      </c>
    </row>
    <row r="48" spans="1:21" x14ac:dyDescent="0.25">
      <c r="A48" s="116">
        <v>9</v>
      </c>
      <c r="B48" s="117"/>
      <c r="C48" s="57"/>
      <c r="D48" s="214"/>
      <c r="E48" s="179"/>
      <c r="F48" s="178"/>
      <c r="G48" s="214"/>
      <c r="H48" s="60">
        <f t="shared" si="29"/>
        <v>0</v>
      </c>
      <c r="I48" s="60">
        <f t="shared" si="24"/>
        <v>0</v>
      </c>
      <c r="J48" s="60">
        <f>50*Описание!E$16</f>
        <v>4250000</v>
      </c>
      <c r="K48" s="60">
        <f t="shared" si="25"/>
        <v>425000</v>
      </c>
      <c r="L48" s="60">
        <f t="shared" si="16"/>
        <v>0</v>
      </c>
      <c r="M48" s="109">
        <f>РегистрИПН!O49</f>
        <v>0</v>
      </c>
      <c r="N48" s="175">
        <f>IF(РегистрИПН!N49&lt;=0,(D48+L48),(D48+L48)*M48)</f>
        <v>0</v>
      </c>
      <c r="O48" s="60">
        <f t="shared" si="22"/>
        <v>0</v>
      </c>
      <c r="P48" s="214"/>
      <c r="Q48" s="203">
        <f t="shared" si="26"/>
        <v>0</v>
      </c>
      <c r="R48" s="203">
        <f>10*Описание!E$16</f>
        <v>850000</v>
      </c>
      <c r="S48" s="203">
        <f t="shared" si="27"/>
        <v>0</v>
      </c>
      <c r="T48" s="203">
        <f t="shared" si="28"/>
        <v>0</v>
      </c>
      <c r="U48" s="203">
        <f t="shared" si="23"/>
        <v>0</v>
      </c>
    </row>
    <row r="49" spans="1:21" x14ac:dyDescent="0.25">
      <c r="A49" s="116">
        <v>10</v>
      </c>
      <c r="B49" s="117"/>
      <c r="C49" s="57"/>
      <c r="D49" s="214"/>
      <c r="E49" s="179"/>
      <c r="F49" s="178"/>
      <c r="G49" s="180"/>
      <c r="H49" s="60">
        <f t="shared" si="29"/>
        <v>0</v>
      </c>
      <c r="I49" s="60">
        <f t="shared" si="24"/>
        <v>0</v>
      </c>
      <c r="J49" s="60">
        <f>50*Описание!E$16</f>
        <v>4250000</v>
      </c>
      <c r="K49" s="60">
        <f t="shared" si="25"/>
        <v>425000</v>
      </c>
      <c r="L49" s="60">
        <f t="shared" si="16"/>
        <v>0</v>
      </c>
      <c r="M49" s="109">
        <f>РегистрИПН!O50</f>
        <v>0</v>
      </c>
      <c r="N49" s="175">
        <f>IF(РегистрИПН!N50&lt;=0,(D49+L49),(D49+L49)*M49)</f>
        <v>0</v>
      </c>
      <c r="O49" s="60">
        <f t="shared" si="22"/>
        <v>0</v>
      </c>
      <c r="P49" s="214"/>
      <c r="Q49" s="203">
        <f t="shared" si="26"/>
        <v>0</v>
      </c>
      <c r="R49" s="203">
        <f>10*Описание!E$16</f>
        <v>850000</v>
      </c>
      <c r="S49" s="203">
        <f t="shared" si="27"/>
        <v>0</v>
      </c>
      <c r="T49" s="203">
        <f t="shared" si="28"/>
        <v>0</v>
      </c>
      <c r="U49" s="203">
        <f t="shared" si="23"/>
        <v>0</v>
      </c>
    </row>
    <row r="50" spans="1:21" x14ac:dyDescent="0.25">
      <c r="A50" s="116">
        <v>11</v>
      </c>
      <c r="B50" s="117"/>
      <c r="C50" s="57"/>
      <c r="D50" s="214"/>
      <c r="E50" s="179"/>
      <c r="F50" s="178"/>
      <c r="G50" s="181"/>
      <c r="H50" s="60">
        <f t="shared" si="29"/>
        <v>0</v>
      </c>
      <c r="I50" s="60">
        <f t="shared" si="24"/>
        <v>0</v>
      </c>
      <c r="J50" s="60">
        <f>50*Описание!E$16</f>
        <v>4250000</v>
      </c>
      <c r="K50" s="60">
        <f t="shared" si="25"/>
        <v>425000</v>
      </c>
      <c r="L50" s="60">
        <f t="shared" si="16"/>
        <v>0</v>
      </c>
      <c r="M50" s="109">
        <f>РегистрИПН!O51</f>
        <v>0</v>
      </c>
      <c r="N50" s="175">
        <f>IF(РегистрИПН!N51&lt;=0,(D50+L50),(D50+L50)*M50)</f>
        <v>0</v>
      </c>
      <c r="O50" s="60">
        <f t="shared" si="22"/>
        <v>0</v>
      </c>
      <c r="P50" s="214"/>
      <c r="Q50" s="203">
        <f t="shared" si="26"/>
        <v>0</v>
      </c>
      <c r="R50" s="203">
        <f>10*Описание!E$16</f>
        <v>850000</v>
      </c>
      <c r="S50" s="203">
        <f t="shared" si="27"/>
        <v>0</v>
      </c>
      <c r="T50" s="203">
        <f t="shared" si="28"/>
        <v>0</v>
      </c>
      <c r="U50" s="203">
        <f t="shared" si="23"/>
        <v>0</v>
      </c>
    </row>
    <row r="51" spans="1:21" x14ac:dyDescent="0.25">
      <c r="A51" s="118">
        <v>12</v>
      </c>
      <c r="B51" s="117"/>
      <c r="C51" s="57"/>
      <c r="D51" s="214"/>
      <c r="E51" s="179"/>
      <c r="F51" s="178"/>
      <c r="G51" s="181"/>
      <c r="H51" s="60">
        <f t="shared" si="29"/>
        <v>0</v>
      </c>
      <c r="I51" s="60">
        <f t="shared" si="24"/>
        <v>0</v>
      </c>
      <c r="J51" s="60">
        <f>50*Описание!E$16</f>
        <v>4250000</v>
      </c>
      <c r="K51" s="60">
        <f t="shared" si="25"/>
        <v>425000</v>
      </c>
      <c r="L51" s="60">
        <f t="shared" si="16"/>
        <v>0</v>
      </c>
      <c r="M51" s="109">
        <f>РегистрИПН!O52</f>
        <v>0</v>
      </c>
      <c r="N51" s="175">
        <f>IF(РегистрИПН!N52&lt;=0,(D51+L51),(D51+L51)*M51)</f>
        <v>0</v>
      </c>
      <c r="O51" s="60">
        <f t="shared" si="22"/>
        <v>0</v>
      </c>
      <c r="P51" s="214"/>
      <c r="Q51" s="203">
        <f t="shared" si="26"/>
        <v>0</v>
      </c>
      <c r="R51" s="203">
        <f>10*Описание!E$16</f>
        <v>850000</v>
      </c>
      <c r="S51" s="203">
        <f t="shared" si="27"/>
        <v>0</v>
      </c>
      <c r="T51" s="203">
        <f t="shared" si="28"/>
        <v>0</v>
      </c>
      <c r="U51" s="203">
        <f t="shared" si="23"/>
        <v>0</v>
      </c>
    </row>
    <row r="52" spans="1:21" x14ac:dyDescent="0.25">
      <c r="A52" s="116">
        <v>13</v>
      </c>
      <c r="B52" s="117"/>
      <c r="C52" s="57"/>
      <c r="D52" s="214"/>
      <c r="E52" s="179"/>
      <c r="F52" s="178"/>
      <c r="G52" s="180"/>
      <c r="H52" s="60">
        <f t="shared" si="29"/>
        <v>0</v>
      </c>
      <c r="I52" s="60">
        <f t="shared" si="24"/>
        <v>0</v>
      </c>
      <c r="J52" s="60">
        <f>50*Описание!E$16</f>
        <v>4250000</v>
      </c>
      <c r="K52" s="60">
        <f t="shared" si="25"/>
        <v>425000</v>
      </c>
      <c r="L52" s="60">
        <f t="shared" si="16"/>
        <v>0</v>
      </c>
      <c r="M52" s="109">
        <f>РегистрИПН!O53</f>
        <v>0</v>
      </c>
      <c r="N52" s="175">
        <f>IF(РегистрИПН!N53&lt;=0,(D52+L52),(D52+L52)*M52)</f>
        <v>0</v>
      </c>
      <c r="O52" s="60">
        <f t="shared" si="22"/>
        <v>0</v>
      </c>
      <c r="P52" s="214"/>
      <c r="Q52" s="203">
        <f>E52-P52</f>
        <v>0</v>
      </c>
      <c r="R52" s="203">
        <f>10*Описание!E$16</f>
        <v>850000</v>
      </c>
      <c r="S52" s="203">
        <f>IF(Q52&lt;R52,Q52,R52)</f>
        <v>0</v>
      </c>
      <c r="T52" s="203">
        <f t="shared" si="28"/>
        <v>0</v>
      </c>
      <c r="U52" s="203">
        <f t="shared" si="23"/>
        <v>0</v>
      </c>
    </row>
    <row r="53" spans="1:21" ht="40.200000000000003" thickBot="1" x14ac:dyDescent="0.3">
      <c r="A53" s="120"/>
      <c r="B53" s="111" t="s">
        <v>142</v>
      </c>
      <c r="C53" s="111"/>
      <c r="D53" s="112">
        <f>D13</f>
        <v>0</v>
      </c>
      <c r="E53" s="112">
        <f t="shared" ref="E53:L53" si="30">E39+E26+E13</f>
        <v>0</v>
      </c>
      <c r="F53" s="112"/>
      <c r="G53" s="112">
        <f t="shared" si="30"/>
        <v>0</v>
      </c>
      <c r="H53" s="112">
        <f t="shared" si="30"/>
        <v>0</v>
      </c>
      <c r="I53" s="112">
        <f t="shared" si="30"/>
        <v>0</v>
      </c>
      <c r="J53" s="112">
        <f t="shared" si="30"/>
        <v>0</v>
      </c>
      <c r="K53" s="112">
        <f t="shared" si="30"/>
        <v>0</v>
      </c>
      <c r="L53" s="112">
        <f t="shared" si="30"/>
        <v>0</v>
      </c>
      <c r="M53" s="112"/>
      <c r="N53" s="112">
        <f>N39+N26+N13</f>
        <v>0</v>
      </c>
      <c r="O53" s="112">
        <f>O39</f>
        <v>0</v>
      </c>
      <c r="P53" s="112">
        <f>P39</f>
        <v>0</v>
      </c>
      <c r="Q53" s="112">
        <f>Q39+Q26+Q13</f>
        <v>0</v>
      </c>
      <c r="R53" s="112">
        <f>R39+R26+R13</f>
        <v>31450000</v>
      </c>
      <c r="S53" s="112">
        <f>S39+S26+S13</f>
        <v>0</v>
      </c>
      <c r="T53" s="112">
        <f>T39+T26+T13</f>
        <v>0</v>
      </c>
      <c r="U53" s="112">
        <f>U39+U26+U13</f>
        <v>0</v>
      </c>
    </row>
    <row r="54" spans="1:21" x14ac:dyDescent="0.25">
      <c r="A54" s="113"/>
      <c r="B54" s="113"/>
      <c r="C54" s="113"/>
      <c r="D54" s="113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</row>
    <row r="55" spans="1:21" x14ac:dyDescent="0.25">
      <c r="A55" s="113"/>
      <c r="B55" s="113"/>
      <c r="C55" s="113"/>
      <c r="D55" s="113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</row>
    <row r="56" spans="1:21" x14ac:dyDescent="0.25">
      <c r="A56" s="61" t="s">
        <v>96</v>
      </c>
      <c r="B56" s="9"/>
      <c r="C56" s="121"/>
      <c r="E56" s="122"/>
      <c r="F56" s="122"/>
    </row>
    <row r="57" spans="1:21" x14ac:dyDescent="0.25">
      <c r="A57" s="61" t="s">
        <v>97</v>
      </c>
      <c r="B57" s="94"/>
      <c r="C57" s="121"/>
    </row>
    <row r="58" spans="1:21" x14ac:dyDescent="0.25">
      <c r="A58" s="61" t="s">
        <v>96</v>
      </c>
      <c r="B58" s="9"/>
      <c r="C58" s="121"/>
    </row>
    <row r="59" spans="1:21" x14ac:dyDescent="0.25">
      <c r="A59" s="61" t="s">
        <v>98</v>
      </c>
      <c r="B59" s="94"/>
      <c r="C59" s="121"/>
    </row>
    <row r="60" spans="1:21" x14ac:dyDescent="0.25">
      <c r="A60" s="61" t="s">
        <v>96</v>
      </c>
      <c r="B60" s="9"/>
      <c r="C60" s="121"/>
    </row>
    <row r="61" spans="1:21" x14ac:dyDescent="0.25">
      <c r="A61" s="61" t="s">
        <v>99</v>
      </c>
      <c r="B61" s="94"/>
      <c r="C61" s="121"/>
    </row>
    <row r="62" spans="1:21" x14ac:dyDescent="0.25">
      <c r="A62" s="61" t="s">
        <v>100</v>
      </c>
      <c r="B62" s="115"/>
      <c r="C62" s="94"/>
      <c r="D62" s="121"/>
      <c r="E62" s="94"/>
      <c r="F62" s="94"/>
    </row>
    <row r="63" spans="1:21" x14ac:dyDescent="0.25">
      <c r="A63" s="61" t="s">
        <v>101</v>
      </c>
      <c r="B63" s="94"/>
      <c r="C63" s="94"/>
      <c r="D63" s="121"/>
      <c r="E63" s="94"/>
      <c r="F63" s="94"/>
    </row>
    <row r="64" spans="1:21" x14ac:dyDescent="0.25"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</row>
    <row r="65" spans="1:20" x14ac:dyDescent="0.25">
      <c r="A65" s="306" t="s">
        <v>243</v>
      </c>
      <c r="B65" s="306"/>
      <c r="C65" s="306"/>
      <c r="D65" s="306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</row>
    <row r="66" spans="1:20" x14ac:dyDescent="0.25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</row>
    <row r="67" spans="1:20" x14ac:dyDescent="0.25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</row>
    <row r="68" spans="1:20" x14ac:dyDescent="0.25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</row>
    <row r="69" spans="1:20" x14ac:dyDescent="0.25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</row>
    <row r="70" spans="1:20" x14ac:dyDescent="0.25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</row>
    <row r="71" spans="1:20" x14ac:dyDescent="0.25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</row>
    <row r="72" spans="1:20" x14ac:dyDescent="0.25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</row>
    <row r="73" spans="1:20" x14ac:dyDescent="0.25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</row>
    <row r="74" spans="1:20" x14ac:dyDescent="0.25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</row>
    <row r="75" spans="1:20" x14ac:dyDescent="0.25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</row>
    <row r="76" spans="1:20" x14ac:dyDescent="0.25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</row>
    <row r="77" spans="1:20" x14ac:dyDescent="0.25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</row>
    <row r="78" spans="1:20" x14ac:dyDescent="0.25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</row>
    <row r="79" spans="1:20" x14ac:dyDescent="0.25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</row>
    <row r="80" spans="1:20" x14ac:dyDescent="0.25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</row>
    <row r="81" spans="1:15" x14ac:dyDescent="0.25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</row>
    <row r="82" spans="1:15" x14ac:dyDescent="0.25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</row>
    <row r="83" spans="1:15" x14ac:dyDescent="0.25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</row>
    <row r="84" spans="1:15" x14ac:dyDescent="0.25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</row>
    <row r="85" spans="1:15" x14ac:dyDescent="0.25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</row>
    <row r="86" spans="1:15" x14ac:dyDescent="0.25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</row>
  </sheetData>
  <mergeCells count="4">
    <mergeCell ref="G1:I1"/>
    <mergeCell ref="G2:I2"/>
    <mergeCell ref="G4:I4"/>
    <mergeCell ref="A65:T6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E46"/>
  <sheetViews>
    <sheetView topLeftCell="AP1" zoomScaleNormal="100" workbookViewId="0">
      <selection activeCell="AS1" sqref="AS1"/>
    </sheetView>
  </sheetViews>
  <sheetFormatPr defaultColWidth="8.88671875" defaultRowHeight="13.2" x14ac:dyDescent="0.25"/>
  <cols>
    <col min="1" max="1" width="8.88671875" style="48"/>
    <col min="2" max="2" width="17.44140625" style="48" customWidth="1"/>
    <col min="3" max="3" width="16.33203125" style="48" customWidth="1"/>
    <col min="4" max="4" width="8.88671875" style="48" customWidth="1"/>
    <col min="5" max="5" width="8.88671875" style="48"/>
    <col min="6" max="6" width="11.6640625" style="48" customWidth="1"/>
    <col min="7" max="7" width="12.33203125" style="48" customWidth="1"/>
    <col min="8" max="9" width="15" style="48" customWidth="1"/>
    <col min="10" max="10" width="14.5546875" style="48" customWidth="1"/>
    <col min="11" max="11" width="13.33203125" style="48" customWidth="1"/>
    <col min="12" max="14" width="8.88671875" style="48"/>
    <col min="15" max="16" width="16.33203125" style="48" customWidth="1"/>
    <col min="17" max="17" width="14.6640625" style="48" customWidth="1"/>
    <col min="18" max="18" width="14.5546875" style="48" customWidth="1"/>
    <col min="19" max="20" width="12.6640625" style="48" customWidth="1"/>
    <col min="21" max="21" width="12.5546875" style="48" customWidth="1"/>
    <col min="22" max="22" width="12.33203125" style="48" customWidth="1"/>
    <col min="23" max="23" width="13.44140625" style="48" customWidth="1"/>
    <col min="24" max="24" width="12.6640625" style="48" customWidth="1"/>
    <col min="25" max="25" width="12.88671875" style="48" customWidth="1"/>
    <col min="26" max="26" width="15.33203125" style="48" customWidth="1"/>
    <col min="27" max="27" width="11.6640625" style="48" customWidth="1"/>
    <col min="28" max="28" width="22.88671875" style="48" customWidth="1"/>
    <col min="29" max="29" width="17.109375" style="48" customWidth="1"/>
    <col min="30" max="30" width="9.88671875" style="48" bestFit="1" customWidth="1"/>
    <col min="31" max="31" width="14.88671875" style="48" customWidth="1"/>
    <col min="32" max="32" width="13.6640625" style="48" customWidth="1"/>
    <col min="33" max="34" width="14.6640625" style="48" customWidth="1"/>
    <col min="35" max="35" width="18.6640625" style="48" customWidth="1"/>
    <col min="36" max="36" width="17.109375" style="48" customWidth="1"/>
    <col min="37" max="37" width="14.109375" style="48" customWidth="1"/>
    <col min="38" max="38" width="15.33203125" style="48" customWidth="1"/>
    <col min="39" max="39" width="16.33203125" style="48" customWidth="1"/>
    <col min="40" max="40" width="8.88671875" style="48"/>
    <col min="41" max="41" width="15.44140625" style="48" customWidth="1"/>
    <col min="42" max="42" width="15" style="48" customWidth="1"/>
    <col min="43" max="43" width="13.5546875" style="48" customWidth="1"/>
    <col min="44" max="44" width="15.109375" style="48" customWidth="1"/>
    <col min="45" max="45" width="12.6640625" style="48" customWidth="1"/>
    <col min="46" max="46" width="14.88671875" style="48" customWidth="1"/>
    <col min="47" max="47" width="8.88671875" style="48"/>
    <col min="48" max="48" width="13.6640625" style="48" customWidth="1"/>
    <col min="49" max="50" width="8.88671875" style="48"/>
    <col min="51" max="51" width="17.33203125" style="48" customWidth="1"/>
    <col min="52" max="52" width="19.6640625" style="48" customWidth="1"/>
    <col min="53" max="54" width="14.44140625" style="48" customWidth="1"/>
    <col min="55" max="16384" width="8.88671875" style="48"/>
  </cols>
  <sheetData>
    <row r="1" spans="1:57" ht="145.80000000000001" thickBot="1" x14ac:dyDescent="0.3">
      <c r="A1" s="44" t="s">
        <v>88</v>
      </c>
      <c r="B1" s="44" t="s">
        <v>324</v>
      </c>
      <c r="C1" s="227" t="s">
        <v>424</v>
      </c>
      <c r="D1" s="227" t="s">
        <v>326</v>
      </c>
      <c r="E1" s="227" t="s">
        <v>327</v>
      </c>
      <c r="F1" s="227" t="s">
        <v>328</v>
      </c>
      <c r="G1" s="227" t="s">
        <v>329</v>
      </c>
      <c r="H1" s="310" t="s">
        <v>330</v>
      </c>
      <c r="I1" s="311"/>
      <c r="J1" s="312"/>
      <c r="K1" s="227" t="s">
        <v>331</v>
      </c>
      <c r="L1" s="227" t="s">
        <v>332</v>
      </c>
      <c r="M1" s="227" t="s">
        <v>333</v>
      </c>
      <c r="N1" s="227" t="s">
        <v>334</v>
      </c>
      <c r="O1" s="227" t="s">
        <v>335</v>
      </c>
      <c r="P1" s="227" t="s">
        <v>418</v>
      </c>
      <c r="Q1" s="227" t="s">
        <v>336</v>
      </c>
      <c r="R1" s="227" t="s">
        <v>337</v>
      </c>
      <c r="S1" s="227" t="s">
        <v>338</v>
      </c>
      <c r="T1" s="227" t="s">
        <v>339</v>
      </c>
      <c r="U1" s="227" t="s">
        <v>340</v>
      </c>
      <c r="V1" s="227" t="s">
        <v>417</v>
      </c>
      <c r="W1" s="227" t="s">
        <v>417</v>
      </c>
      <c r="X1" s="227" t="s">
        <v>417</v>
      </c>
      <c r="Y1" s="227" t="s">
        <v>122</v>
      </c>
      <c r="Z1" s="227" t="s">
        <v>342</v>
      </c>
      <c r="AA1" s="227" t="s">
        <v>343</v>
      </c>
      <c r="AB1" s="227" t="s">
        <v>344</v>
      </c>
      <c r="AC1" s="227" t="s">
        <v>255</v>
      </c>
      <c r="AD1" s="227" t="s">
        <v>304</v>
      </c>
      <c r="AE1" s="227" t="s">
        <v>345</v>
      </c>
      <c r="AF1" s="227" t="s">
        <v>346</v>
      </c>
      <c r="AG1" s="227" t="s">
        <v>347</v>
      </c>
      <c r="AH1" s="227" t="s">
        <v>348</v>
      </c>
      <c r="AI1" s="227" t="s">
        <v>349</v>
      </c>
      <c r="AJ1" s="240" t="s">
        <v>350</v>
      </c>
      <c r="AK1" s="59" t="s">
        <v>114</v>
      </c>
      <c r="AL1" s="215" t="s">
        <v>351</v>
      </c>
      <c r="AM1" s="227" t="s">
        <v>261</v>
      </c>
      <c r="AN1" s="228" t="s">
        <v>352</v>
      </c>
      <c r="AO1" s="228" t="s">
        <v>353</v>
      </c>
      <c r="AP1" s="228" t="s">
        <v>354</v>
      </c>
      <c r="AQ1" s="228" t="s">
        <v>355</v>
      </c>
      <c r="AR1" s="228" t="s">
        <v>356</v>
      </c>
      <c r="AS1" s="228" t="s">
        <v>265</v>
      </c>
      <c r="AT1" s="228" t="s">
        <v>315</v>
      </c>
      <c r="AU1" s="228" t="s">
        <v>357</v>
      </c>
      <c r="AV1" s="228" t="s">
        <v>358</v>
      </c>
      <c r="AW1" s="228" t="s">
        <v>359</v>
      </c>
      <c r="AX1" s="228" t="s">
        <v>360</v>
      </c>
      <c r="AY1" s="228" t="s">
        <v>361</v>
      </c>
      <c r="AZ1" s="228" t="s">
        <v>362</v>
      </c>
      <c r="BA1" s="228" t="s">
        <v>363</v>
      </c>
      <c r="BB1" s="228" t="s">
        <v>455</v>
      </c>
    </row>
    <row r="2" spans="1:57" x14ac:dyDescent="0.25">
      <c r="A2" s="229" t="s">
        <v>11</v>
      </c>
      <c r="B2" s="229" t="s">
        <v>13</v>
      </c>
      <c r="C2" s="229" t="s">
        <v>16</v>
      </c>
      <c r="D2" s="229" t="s">
        <v>212</v>
      </c>
      <c r="E2" s="229" t="s">
        <v>213</v>
      </c>
      <c r="F2" s="229" t="s">
        <v>214</v>
      </c>
      <c r="G2" s="229" t="s">
        <v>220</v>
      </c>
      <c r="H2" s="314" t="s">
        <v>364</v>
      </c>
      <c r="I2" s="315"/>
      <c r="J2" s="316"/>
      <c r="K2" s="230" t="s">
        <v>31</v>
      </c>
      <c r="L2" s="230" t="s">
        <v>251</v>
      </c>
      <c r="M2" s="229" t="s">
        <v>365</v>
      </c>
      <c r="N2" s="229"/>
      <c r="O2" s="229" t="s">
        <v>262</v>
      </c>
      <c r="P2" s="229"/>
      <c r="Q2" s="230" t="s">
        <v>409</v>
      </c>
      <c r="R2" s="230"/>
      <c r="S2" s="230"/>
      <c r="T2" s="217" t="s">
        <v>410</v>
      </c>
      <c r="U2" s="230"/>
      <c r="V2" s="229" t="s">
        <v>264</v>
      </c>
      <c r="W2" s="237" t="s">
        <v>429</v>
      </c>
      <c r="X2" s="237" t="s">
        <v>430</v>
      </c>
      <c r="Y2" s="230" t="s">
        <v>267</v>
      </c>
      <c r="Z2" s="230" t="s">
        <v>431</v>
      </c>
      <c r="AA2" s="237" t="s">
        <v>368</v>
      </c>
      <c r="AB2" s="237" t="s">
        <v>369</v>
      </c>
      <c r="AC2" s="237" t="s">
        <v>370</v>
      </c>
      <c r="AD2" s="237" t="s">
        <v>432</v>
      </c>
      <c r="AE2" s="230"/>
      <c r="AF2" s="230" t="s">
        <v>371</v>
      </c>
      <c r="AG2" s="237"/>
      <c r="AH2" s="230"/>
      <c r="AI2" s="230" t="s">
        <v>372</v>
      </c>
      <c r="AJ2" s="230" t="s">
        <v>373</v>
      </c>
      <c r="AK2" s="230"/>
      <c r="AL2" s="230"/>
      <c r="AM2" s="229" t="s">
        <v>374</v>
      </c>
      <c r="AN2" s="230" t="s">
        <v>375</v>
      </c>
      <c r="AO2" s="266" t="s">
        <v>376</v>
      </c>
      <c r="AP2" s="230" t="s">
        <v>377</v>
      </c>
      <c r="AQ2" s="230"/>
      <c r="AR2" s="230" t="s">
        <v>411</v>
      </c>
      <c r="AS2" s="266" t="s">
        <v>379</v>
      </c>
      <c r="AT2" s="266" t="s">
        <v>433</v>
      </c>
      <c r="AU2" s="230"/>
      <c r="AV2" s="230" t="s">
        <v>380</v>
      </c>
      <c r="AW2" s="230"/>
      <c r="AX2" s="230" t="s">
        <v>381</v>
      </c>
      <c r="AY2" s="230"/>
      <c r="AZ2" s="230" t="s">
        <v>412</v>
      </c>
      <c r="BA2" s="230" t="s">
        <v>383</v>
      </c>
      <c r="BB2" s="230" t="s">
        <v>454</v>
      </c>
    </row>
    <row r="3" spans="1:57" ht="58.95" customHeight="1" x14ac:dyDescent="0.25">
      <c r="A3" s="313"/>
      <c r="B3" s="313"/>
      <c r="C3" s="229"/>
      <c r="D3" s="229"/>
      <c r="E3" s="243" t="s">
        <v>384</v>
      </c>
      <c r="F3" s="229"/>
      <c r="G3" s="229"/>
      <c r="H3" s="229" t="s">
        <v>385</v>
      </c>
      <c r="I3" s="229" t="s">
        <v>88</v>
      </c>
      <c r="J3" s="229" t="s">
        <v>14</v>
      </c>
      <c r="K3" s="244" t="s">
        <v>425</v>
      </c>
      <c r="L3" s="244" t="s">
        <v>425</v>
      </c>
      <c r="M3" s="229" t="s">
        <v>386</v>
      </c>
      <c r="N3" s="243" t="s">
        <v>387</v>
      </c>
      <c r="O3" s="229"/>
      <c r="P3" s="232"/>
      <c r="Q3" s="245"/>
      <c r="S3" s="243" t="s">
        <v>389</v>
      </c>
      <c r="T3" s="245" t="s">
        <v>388</v>
      </c>
      <c r="U3" s="245"/>
      <c r="V3" s="238" t="s">
        <v>390</v>
      </c>
      <c r="W3" s="238" t="s">
        <v>391</v>
      </c>
      <c r="X3" s="238" t="s">
        <v>392</v>
      </c>
      <c r="Y3" s="243"/>
      <c r="Z3" s="243"/>
      <c r="AA3" s="243" t="s">
        <v>384</v>
      </c>
      <c r="AB3" s="238"/>
      <c r="AC3" s="243" t="s">
        <v>384</v>
      </c>
      <c r="AD3" s="238"/>
      <c r="AE3" s="229"/>
      <c r="AF3" s="229"/>
      <c r="AG3" s="229"/>
      <c r="AH3" s="229"/>
      <c r="AI3" s="229"/>
      <c r="AJ3" s="229"/>
      <c r="AK3" s="229"/>
      <c r="AL3" s="229"/>
      <c r="AM3" s="229"/>
      <c r="AN3" s="243" t="s">
        <v>393</v>
      </c>
      <c r="AO3" s="230"/>
      <c r="AP3" s="230"/>
      <c r="AQ3" s="243"/>
      <c r="AR3" s="245"/>
      <c r="AS3" s="230"/>
      <c r="AT3" s="230" t="s">
        <v>394</v>
      </c>
      <c r="AU3" s="230"/>
      <c r="AV3" s="230"/>
      <c r="AW3" s="230"/>
      <c r="AX3" s="51"/>
      <c r="AY3" s="243"/>
      <c r="AZ3" s="245"/>
      <c r="BA3" s="246">
        <v>0.03</v>
      </c>
      <c r="BB3" s="246">
        <v>0</v>
      </c>
    </row>
    <row r="4" spans="1:57" ht="13.2" customHeight="1" x14ac:dyDescent="0.25">
      <c r="A4" s="51">
        <v>1</v>
      </c>
      <c r="B4" s="214" t="s">
        <v>443</v>
      </c>
      <c r="C4" s="214"/>
      <c r="D4" s="214"/>
      <c r="E4" s="51" t="s">
        <v>398</v>
      </c>
      <c r="F4" s="214"/>
      <c r="G4" s="214"/>
      <c r="H4" s="51"/>
      <c r="I4" s="214"/>
      <c r="J4" s="214"/>
      <c r="K4" s="214"/>
      <c r="L4" s="214"/>
      <c r="M4" s="247">
        <v>0.1</v>
      </c>
      <c r="N4" s="248">
        <v>1</v>
      </c>
      <c r="O4" s="249"/>
      <c r="P4" s="249"/>
      <c r="Q4" s="221">
        <f>Описание!E$18</f>
        <v>4250000</v>
      </c>
      <c r="R4" s="216">
        <f>IF((O4-P4)&lt;Q4,O4-P4,Q4)</f>
        <v>0</v>
      </c>
      <c r="S4" s="216">
        <v>1</v>
      </c>
      <c r="T4" s="221">
        <f>Описание!E$22</f>
        <v>850000</v>
      </c>
      <c r="U4" s="216">
        <f>IF(O4&lt;T4,O4,T4)</f>
        <v>0</v>
      </c>
      <c r="V4" s="249"/>
      <c r="W4" s="249"/>
      <c r="X4" s="249"/>
      <c r="Y4" s="216">
        <f>IF(AND(E4=G$24,S4=1),(R4)*10%,0)</f>
        <v>0</v>
      </c>
      <c r="Z4" s="216">
        <f>IF(AND(E4=G$24,S4=1),(U4)*2%,0)</f>
        <v>0</v>
      </c>
      <c r="AA4" s="216" t="s">
        <v>396</v>
      </c>
      <c r="AB4" s="249"/>
      <c r="AC4" s="226" t="s">
        <v>397</v>
      </c>
      <c r="AD4" s="249"/>
      <c r="AE4" s="250">
        <f>IF(E4=G$24,O4-Y4-Z4-AB4-AD4-V4-W4-X4,O4)</f>
        <v>0</v>
      </c>
      <c r="AF4" s="250">
        <f>AE4*M4</f>
        <v>0</v>
      </c>
      <c r="AG4" s="249"/>
      <c r="AH4" s="250">
        <f>O4-Y4-AF4-Z4</f>
        <v>0</v>
      </c>
      <c r="AI4" s="249"/>
      <c r="AJ4" s="250">
        <f>AG4+AH4-AI4</f>
        <v>0</v>
      </c>
      <c r="AK4" s="218">
        <f>IF(AI4=0,0,AI4/(AG4+AH4))</f>
        <v>0</v>
      </c>
      <c r="AL4" s="249"/>
      <c r="AM4" s="251">
        <f>IF(AJ4=0,AL4+AF4,(AF4+AL4)*AK4)</f>
        <v>0</v>
      </c>
      <c r="AN4" s="249"/>
      <c r="AO4" s="250">
        <f>O4-Y4-AN4-Z4</f>
        <v>0</v>
      </c>
      <c r="AP4" s="251">
        <f>AO4*9.5%</f>
        <v>0</v>
      </c>
      <c r="AQ4" s="252">
        <f>IF(AND(E4=G$24,S4=1),O4-Y4,0)</f>
        <v>0</v>
      </c>
      <c r="AR4" s="253">
        <f>IF(AQ4&gt;(7*Описание!E$16*3),7*Описание!E$16,AQ4)</f>
        <v>0</v>
      </c>
      <c r="AS4" s="250">
        <f>AR4*3.5%</f>
        <v>0</v>
      </c>
      <c r="AT4" s="250">
        <f>IF(AP4-AS4&lt;0,0,AP4-AS4)</f>
        <v>0</v>
      </c>
      <c r="AU4" s="249"/>
      <c r="AV4" s="250">
        <f>IF((AU4+Y4)&gt;0,(AU4+Y4)*AK4,0)</f>
        <v>0</v>
      </c>
      <c r="AW4" s="249"/>
      <c r="AX4" s="250">
        <f>IF((AW4+Z4)&gt;0,(AW4+Z4)*AK4,0)</f>
        <v>0</v>
      </c>
      <c r="AY4" s="216">
        <f>IF(AND(E4=G$24,N4=1,S4=1),O4,0)</f>
        <v>0</v>
      </c>
      <c r="AZ4" s="253">
        <f>IF(AY4&gt;(10*Описание!E$16),10*Описание!E$16,AY4)</f>
        <v>0</v>
      </c>
      <c r="BA4" s="250">
        <f>AZ4*3%</f>
        <v>0</v>
      </c>
      <c r="BB4" s="250"/>
      <c r="BC4" s="254"/>
      <c r="BD4" s="254"/>
      <c r="BE4" s="254"/>
    </row>
    <row r="5" spans="1:57" ht="13.2" customHeight="1" x14ac:dyDescent="0.25">
      <c r="A5" s="51">
        <v>2</v>
      </c>
      <c r="B5" s="214"/>
      <c r="C5" s="214"/>
      <c r="D5" s="214"/>
      <c r="E5" s="51" t="s">
        <v>398</v>
      </c>
      <c r="F5" s="214"/>
      <c r="G5" s="214"/>
      <c r="H5" s="51"/>
      <c r="I5" s="214"/>
      <c r="J5" s="214"/>
      <c r="K5" s="214"/>
      <c r="L5" s="214"/>
      <c r="M5" s="247">
        <v>0.1</v>
      </c>
      <c r="N5" s="248">
        <v>1</v>
      </c>
      <c r="O5" s="249"/>
      <c r="P5" s="249"/>
      <c r="Q5" s="221">
        <f>Описание!E$18</f>
        <v>4250000</v>
      </c>
      <c r="R5" s="216">
        <f>IF((O5-P5)&lt;Q5,O5-P5,Q5)</f>
        <v>0</v>
      </c>
      <c r="S5" s="216"/>
      <c r="T5" s="221">
        <f>Описание!E$22</f>
        <v>850000</v>
      </c>
      <c r="U5" s="216">
        <f>IF(O5&lt;T5,O5,T5)</f>
        <v>0</v>
      </c>
      <c r="V5" s="249"/>
      <c r="W5" s="249"/>
      <c r="X5" s="249"/>
      <c r="Y5" s="216">
        <f>IF(AND(E5=G$24,S5=1),(R5)*10%,0)</f>
        <v>0</v>
      </c>
      <c r="Z5" s="216">
        <f>IF(AND(E5=G$24,S5=1),(U5)*2%,0)</f>
        <v>0</v>
      </c>
      <c r="AA5" s="216"/>
      <c r="AB5" s="249"/>
      <c r="AC5" s="226" t="s">
        <v>399</v>
      </c>
      <c r="AD5" s="249"/>
      <c r="AE5" s="250">
        <f>IF(E5=G$24,O5-Y5-Z5-AB5-AD5-V5-W5-X5,O5)</f>
        <v>0</v>
      </c>
      <c r="AF5" s="250">
        <f>AE5*M5</f>
        <v>0</v>
      </c>
      <c r="AG5" s="249"/>
      <c r="AH5" s="250">
        <f>O5-Y5-AF5-Z5</f>
        <v>0</v>
      </c>
      <c r="AI5" s="249"/>
      <c r="AJ5" s="250">
        <f>AG5+AH5-AI5</f>
        <v>0</v>
      </c>
      <c r="AK5" s="218">
        <f>IF(AI5=0,0,AI5/(AG5+AH5))</f>
        <v>0</v>
      </c>
      <c r="AL5" s="249"/>
      <c r="AM5" s="251">
        <f>IF(AJ5=0,AL5+AF5,(AF5+AL5)*AK5)</f>
        <v>0</v>
      </c>
      <c r="AN5" s="249"/>
      <c r="AO5" s="250">
        <f>O5-Y5-AN5-Z5</f>
        <v>0</v>
      </c>
      <c r="AP5" s="251">
        <f>AO5*9.5%</f>
        <v>0</v>
      </c>
      <c r="AQ5" s="252">
        <f>IF(AND(E5=G$24,S5=1),O5-Y5,0)</f>
        <v>0</v>
      </c>
      <c r="AR5" s="253">
        <f>IF(AQ5&gt;(7*Описание!E$16*3),7*Описание!E$16,AQ5)</f>
        <v>0</v>
      </c>
      <c r="AS5" s="250">
        <f>AR5*3.5%</f>
        <v>0</v>
      </c>
      <c r="AT5" s="250">
        <f>IF(AP5-AS5&lt;0,0,AP5-AS5)</f>
        <v>0</v>
      </c>
      <c r="AU5" s="249"/>
      <c r="AV5" s="250">
        <f>IF((AU5+Y5)&gt;0,(AU5+Y5)*AK5,0)</f>
        <v>0</v>
      </c>
      <c r="AW5" s="249"/>
      <c r="AX5" s="250">
        <f>IF((AW5+Z5)&gt;0,(AW5+Z5)*AK5,0)</f>
        <v>0</v>
      </c>
      <c r="AY5" s="216">
        <f>IF(AND(E5=G$24,N5=1,S5=1),O5,0)</f>
        <v>0</v>
      </c>
      <c r="AZ5" s="253">
        <f>IF(AY5&gt;(10*Описание!E$16),10*Описание!E$16,AY5)</f>
        <v>0</v>
      </c>
      <c r="BA5" s="250">
        <f t="shared" ref="BA5:BA17" si="0">AZ5*3%</f>
        <v>0</v>
      </c>
      <c r="BB5" s="250"/>
      <c r="BC5" s="254"/>
      <c r="BD5" s="254"/>
    </row>
    <row r="6" spans="1:57" ht="13.2" customHeight="1" x14ac:dyDescent="0.25">
      <c r="A6" s="51">
        <v>3</v>
      </c>
      <c r="B6" s="214"/>
      <c r="C6" s="214"/>
      <c r="D6" s="214"/>
      <c r="E6" s="51" t="s">
        <v>395</v>
      </c>
      <c r="F6" s="214"/>
      <c r="G6" s="214"/>
      <c r="H6" s="51"/>
      <c r="I6" s="214"/>
      <c r="J6" s="214"/>
      <c r="K6" s="214"/>
      <c r="L6" s="214"/>
      <c r="M6" s="247">
        <v>0.1</v>
      </c>
      <c r="N6" s="248">
        <v>1</v>
      </c>
      <c r="O6" s="249"/>
      <c r="P6" s="249"/>
      <c r="Q6" s="221">
        <f>Описание!E$18</f>
        <v>4250000</v>
      </c>
      <c r="R6" s="216">
        <f>IF((O6-P6)&lt;Q6,O6-P6,Q6)</f>
        <v>0</v>
      </c>
      <c r="S6" s="216"/>
      <c r="T6" s="221">
        <f>Описание!E$22</f>
        <v>850000</v>
      </c>
      <c r="U6" s="216">
        <f>IF(O6&lt;T6,O6,T6)</f>
        <v>0</v>
      </c>
      <c r="V6" s="249"/>
      <c r="W6" s="249"/>
      <c r="X6" s="249"/>
      <c r="Y6" s="216">
        <f>IF(AND(E6=G$24,S6=1),(R6)*10%,0)</f>
        <v>0</v>
      </c>
      <c r="Z6" s="216">
        <f>IF(AND(E6=G$24,S6=1),(U6)*2%,0)</f>
        <v>0</v>
      </c>
      <c r="AA6" s="216" t="s">
        <v>396</v>
      </c>
      <c r="AB6" s="249"/>
      <c r="AC6" s="226" t="s">
        <v>400</v>
      </c>
      <c r="AD6" s="249"/>
      <c r="AE6" s="250">
        <f>IF(E6=G$24,O6-Y6-Z6-AB6-AD6-V6-W6-X6,O6)</f>
        <v>0</v>
      </c>
      <c r="AF6" s="250">
        <f>AE6*M6</f>
        <v>0</v>
      </c>
      <c r="AG6" s="249"/>
      <c r="AH6" s="250">
        <f>O6-Y6-AF6-Z6</f>
        <v>0</v>
      </c>
      <c r="AI6" s="249"/>
      <c r="AJ6" s="250">
        <f>AG6+AH6-AI6</f>
        <v>0</v>
      </c>
      <c r="AK6" s="218">
        <f>IF(AI6=0,0,AI6/(AG6+AH6))</f>
        <v>0</v>
      </c>
      <c r="AL6" s="249"/>
      <c r="AM6" s="251">
        <f>IF(AJ6=0,AL6+AF6,(AF6+AL6)*AK6)</f>
        <v>0</v>
      </c>
      <c r="AN6" s="249"/>
      <c r="AO6" s="250">
        <f>O6-Y6-AN6-Z6</f>
        <v>0</v>
      </c>
      <c r="AP6" s="251">
        <f>AO6*9.5%</f>
        <v>0</v>
      </c>
      <c r="AQ6" s="252">
        <f>IF(AND(E6=G$24,S6=1),O6-Y6,0)</f>
        <v>0</v>
      </c>
      <c r="AR6" s="253">
        <f>IF(AQ6&gt;(7*Описание!E$16*3),7*Описание!E$16,AQ6)</f>
        <v>0</v>
      </c>
      <c r="AS6" s="250">
        <f>AR6*3.5%</f>
        <v>0</v>
      </c>
      <c r="AT6" s="250">
        <f>IF(AP6-AS6&lt;0,0,AP6-AS6)</f>
        <v>0</v>
      </c>
      <c r="AU6" s="249"/>
      <c r="AV6" s="250">
        <f>IF((AU6+Y6)&gt;0,(AU6+Y6)*AK6,0)</f>
        <v>0</v>
      </c>
      <c r="AW6" s="249"/>
      <c r="AX6" s="250">
        <f>IF((AW6+Z6)&gt;0,(AW6+Z6)*AK6,0)</f>
        <v>0</v>
      </c>
      <c r="AY6" s="216">
        <f>IF(AND(E6=G$24,N6=1,S6=1),O6,0)</f>
        <v>0</v>
      </c>
      <c r="AZ6" s="253">
        <f>IF(AY6&gt;(10*Описание!E$16),10*Описание!E$16,AY6)</f>
        <v>0</v>
      </c>
      <c r="BA6" s="250">
        <f t="shared" si="0"/>
        <v>0</v>
      </c>
      <c r="BB6" s="250"/>
      <c r="BC6" s="254"/>
      <c r="BD6" s="254"/>
      <c r="BE6" s="254"/>
    </row>
    <row r="7" spans="1:57" ht="13.2" customHeight="1" x14ac:dyDescent="0.25">
      <c r="A7" s="51">
        <v>4</v>
      </c>
      <c r="B7" s="214"/>
      <c r="C7" s="214"/>
      <c r="D7" s="214"/>
      <c r="E7" s="51" t="s">
        <v>398</v>
      </c>
      <c r="F7" s="214"/>
      <c r="G7" s="214"/>
      <c r="H7" s="51"/>
      <c r="I7" s="214"/>
      <c r="J7" s="214"/>
      <c r="K7" s="214"/>
      <c r="L7" s="214"/>
      <c r="M7" s="247">
        <v>0.2</v>
      </c>
      <c r="N7" s="248"/>
      <c r="O7" s="249"/>
      <c r="P7" s="249"/>
      <c r="Q7" s="221">
        <f>Описание!E$18</f>
        <v>4250000</v>
      </c>
      <c r="R7" s="216">
        <f>IF((O7-P7)&lt;Q7,O7-P7,Q7)</f>
        <v>0</v>
      </c>
      <c r="S7" s="216"/>
      <c r="T7" s="221">
        <f>Описание!E$22</f>
        <v>850000</v>
      </c>
      <c r="U7" s="216">
        <f>IF(O7&lt;T7,O7,T7)</f>
        <v>0</v>
      </c>
      <c r="V7" s="249"/>
      <c r="W7" s="249"/>
      <c r="X7" s="249"/>
      <c r="Y7" s="216">
        <f>IF(AND(E7=G$24,S7=1),(R7)*10%,0)</f>
        <v>0</v>
      </c>
      <c r="Z7" s="216">
        <f>IF(AND(E7=G$24,S7=1),(U7)*2%,0)</f>
        <v>0</v>
      </c>
      <c r="AA7" s="216"/>
      <c r="AB7" s="249"/>
      <c r="AC7" s="226"/>
      <c r="AD7" s="249"/>
      <c r="AE7" s="250">
        <f>IF(E7=G$24,O7-Y7-Z7-AB7-AD7-V7-W7-X7,O7)</f>
        <v>0</v>
      </c>
      <c r="AF7" s="250">
        <f>AE7*M7</f>
        <v>0</v>
      </c>
      <c r="AG7" s="249"/>
      <c r="AH7" s="250">
        <f>O7-Y7-AF7-Z7</f>
        <v>0</v>
      </c>
      <c r="AI7" s="249"/>
      <c r="AJ7" s="250">
        <f>AG7+AH7-AI7</f>
        <v>0</v>
      </c>
      <c r="AK7" s="218">
        <f>IF(AI7=0,0,AI7/(AG7+AH7))</f>
        <v>0</v>
      </c>
      <c r="AL7" s="249">
        <v>0</v>
      </c>
      <c r="AM7" s="251">
        <f>IF(AJ7=0,AL7+AF7,(AF7+AL7)*AK7)</f>
        <v>0</v>
      </c>
      <c r="AN7" s="249"/>
      <c r="AO7" s="250">
        <f>O7-Y7-AN7-Z7</f>
        <v>0</v>
      </c>
      <c r="AP7" s="251">
        <f>AO7*9.5%</f>
        <v>0</v>
      </c>
      <c r="AQ7" s="252">
        <f>IF(AND(E7=G$24,S7=1),O7-Y7,0)</f>
        <v>0</v>
      </c>
      <c r="AR7" s="253">
        <f>IF(AQ7&gt;(7*Описание!E$16*3),7*Описание!E$16,AQ7)</f>
        <v>0</v>
      </c>
      <c r="AS7" s="250">
        <f>AR7*3.5%</f>
        <v>0</v>
      </c>
      <c r="AT7" s="250">
        <f>IF(AP7-AS7&lt;0,0,AP7-AS7)</f>
        <v>0</v>
      </c>
      <c r="AU7" s="249"/>
      <c r="AV7" s="250">
        <f>IF((AU7+Y7)&gt;0,(AU7+Y7)*AK7,0)</f>
        <v>0</v>
      </c>
      <c r="AW7" s="249"/>
      <c r="AX7" s="250">
        <f>IF((AW7+Z7)&gt;0,(AW7+Z7)*AK7,0)</f>
        <v>0</v>
      </c>
      <c r="AY7" s="216">
        <f>IF(AND(E7=G$24,N7=1,S7=1),O7,0)</f>
        <v>0</v>
      </c>
      <c r="AZ7" s="253">
        <f>IF(AY7&gt;(10*Описание!E$16),10*Описание!E$16,AY7)</f>
        <v>0</v>
      </c>
      <c r="BA7" s="250">
        <f t="shared" si="0"/>
        <v>0</v>
      </c>
      <c r="BB7" s="250"/>
    </row>
    <row r="8" spans="1:57" x14ac:dyDescent="0.25">
      <c r="A8" s="51"/>
      <c r="B8" s="229" t="s">
        <v>413</v>
      </c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55">
        <f>SUM(O4:O7)</f>
        <v>0</v>
      </c>
      <c r="P8" s="255"/>
      <c r="Q8" s="256">
        <f t="shared" ref="Q8:X8" si="1">SUM(Q4:Q7)</f>
        <v>17000000</v>
      </c>
      <c r="R8" s="255">
        <f t="shared" si="1"/>
        <v>0</v>
      </c>
      <c r="S8" s="255"/>
      <c r="T8" s="256">
        <f t="shared" si="1"/>
        <v>3400000</v>
      </c>
      <c r="U8" s="255">
        <f t="shared" si="1"/>
        <v>0</v>
      </c>
      <c r="V8" s="255">
        <f t="shared" si="1"/>
        <v>0</v>
      </c>
      <c r="W8" s="255">
        <f t="shared" si="1"/>
        <v>0</v>
      </c>
      <c r="X8" s="255">
        <f t="shared" si="1"/>
        <v>0</v>
      </c>
      <c r="Y8" s="255">
        <f>SUM(Y4:Y7)</f>
        <v>0</v>
      </c>
      <c r="Z8" s="255">
        <f>SUM(Z4:Z7)</f>
        <v>0</v>
      </c>
      <c r="AA8" s="255">
        <f>SUM(AA4:AA7)</f>
        <v>0</v>
      </c>
      <c r="AB8" s="255">
        <f>SUM(AB4:AB7)</f>
        <v>0</v>
      </c>
      <c r="AC8" s="257"/>
      <c r="AD8" s="255"/>
      <c r="AE8" s="255">
        <f>SUM(AE4:AE7)</f>
        <v>0</v>
      </c>
      <c r="AF8" s="255">
        <f t="shared" ref="AF8:BA8" si="2">SUM(AF4:AF7)</f>
        <v>0</v>
      </c>
      <c r="AG8" s="255">
        <f t="shared" si="2"/>
        <v>0</v>
      </c>
      <c r="AH8" s="255">
        <f t="shared" si="2"/>
        <v>0</v>
      </c>
      <c r="AI8" s="255">
        <f t="shared" si="2"/>
        <v>0</v>
      </c>
      <c r="AJ8" s="255">
        <f t="shared" si="2"/>
        <v>0</v>
      </c>
      <c r="AK8" s="255"/>
      <c r="AL8" s="255">
        <f t="shared" si="2"/>
        <v>0</v>
      </c>
      <c r="AM8" s="255">
        <f t="shared" si="2"/>
        <v>0</v>
      </c>
      <c r="AN8" s="255">
        <f t="shared" si="2"/>
        <v>0</v>
      </c>
      <c r="AO8" s="255">
        <f t="shared" si="2"/>
        <v>0</v>
      </c>
      <c r="AP8" s="255">
        <f t="shared" si="2"/>
        <v>0</v>
      </c>
      <c r="AQ8" s="255">
        <f t="shared" si="2"/>
        <v>0</v>
      </c>
      <c r="AR8" s="256">
        <f t="shared" si="2"/>
        <v>0</v>
      </c>
      <c r="AS8" s="255">
        <f t="shared" si="2"/>
        <v>0</v>
      </c>
      <c r="AT8" s="255">
        <f t="shared" si="2"/>
        <v>0</v>
      </c>
      <c r="AU8" s="255">
        <f t="shared" si="2"/>
        <v>0</v>
      </c>
      <c r="AV8" s="255">
        <f t="shared" si="2"/>
        <v>0</v>
      </c>
      <c r="AW8" s="255">
        <f t="shared" si="2"/>
        <v>0</v>
      </c>
      <c r="AX8" s="255">
        <f t="shared" si="2"/>
        <v>0</v>
      </c>
      <c r="AY8" s="255">
        <f t="shared" si="2"/>
        <v>0</v>
      </c>
      <c r="AZ8" s="256">
        <f t="shared" si="2"/>
        <v>0</v>
      </c>
      <c r="BA8" s="255">
        <f t="shared" si="2"/>
        <v>0</v>
      </c>
      <c r="BB8" s="255">
        <f>SUM(BB4:BB7)</f>
        <v>0</v>
      </c>
    </row>
    <row r="9" spans="1:57" ht="13.2" customHeight="1" x14ac:dyDescent="0.25">
      <c r="A9" s="51">
        <v>1</v>
      </c>
      <c r="B9" s="214" t="s">
        <v>443</v>
      </c>
      <c r="C9" s="214"/>
      <c r="D9" s="214"/>
      <c r="E9" s="51" t="s">
        <v>398</v>
      </c>
      <c r="F9" s="214"/>
      <c r="G9" s="214"/>
      <c r="H9" s="51"/>
      <c r="I9" s="214"/>
      <c r="J9" s="214"/>
      <c r="K9" s="214"/>
      <c r="L9" s="214"/>
      <c r="M9" s="247">
        <v>0.1</v>
      </c>
      <c r="N9" s="248">
        <v>1</v>
      </c>
      <c r="O9" s="249"/>
      <c r="P9" s="249"/>
      <c r="Q9" s="221">
        <f>Описание!E$18</f>
        <v>4250000</v>
      </c>
      <c r="R9" s="216">
        <f>IF((O9-P9)&lt;Q9,O9-P9,Q9)</f>
        <v>0</v>
      </c>
      <c r="S9" s="216">
        <v>1</v>
      </c>
      <c r="T9" s="221">
        <f>Описание!E$22</f>
        <v>850000</v>
      </c>
      <c r="U9" s="216">
        <f>IF(O9&lt;T9,O9,T9)</f>
        <v>0</v>
      </c>
      <c r="V9" s="249"/>
      <c r="W9" s="249"/>
      <c r="X9" s="249"/>
      <c r="Y9" s="216">
        <f>IF(AND(E9=G$24,S9=1),(R9)*10%,0)</f>
        <v>0</v>
      </c>
      <c r="Z9" s="216">
        <f>IF(AND(E9=G$24,S9=1),(U9)*2%,0)</f>
        <v>0</v>
      </c>
      <c r="AA9" s="216" t="s">
        <v>396</v>
      </c>
      <c r="AB9" s="249"/>
      <c r="AC9" s="226" t="s">
        <v>397</v>
      </c>
      <c r="AD9" s="249"/>
      <c r="AE9" s="250">
        <f>IF(E9=G$24,O9-Y9-Z9-AB9-AD9-V9-W9-X9,O9)</f>
        <v>0</v>
      </c>
      <c r="AF9" s="250">
        <f>AE9*M9</f>
        <v>0</v>
      </c>
      <c r="AG9" s="258">
        <f>SUMIF(B$9:B$12,B9,AJ$4:AJ$7)</f>
        <v>0</v>
      </c>
      <c r="AH9" s="250">
        <f>O9-Y9-AF9-Z9</f>
        <v>0</v>
      </c>
      <c r="AI9" s="249"/>
      <c r="AJ9" s="250">
        <f>AG9+AH9-AI9</f>
        <v>0</v>
      </c>
      <c r="AK9" s="218">
        <f>IF(AI9=0,0,AI9/(AG9+AH9))</f>
        <v>0</v>
      </c>
      <c r="AL9" s="249"/>
      <c r="AM9" s="251">
        <f>IF(AJ9=0,AL9+AF9,(AF9+AL9)*AK9)</f>
        <v>0</v>
      </c>
      <c r="AN9" s="249"/>
      <c r="AO9" s="250">
        <f>O9-Y9-AN9-Z9</f>
        <v>0</v>
      </c>
      <c r="AP9" s="251">
        <f>AO9*9.5%</f>
        <v>0</v>
      </c>
      <c r="AQ9" s="252">
        <f>IF(AND(E9=G$24,S9=1),O9-Y9,0)</f>
        <v>0</v>
      </c>
      <c r="AR9" s="253">
        <f>IF(AQ9&gt;(7*Описание!E$16*3),7*Описание!E$16,AQ9)</f>
        <v>0</v>
      </c>
      <c r="AS9" s="250">
        <f>AR9*3.5%</f>
        <v>0</v>
      </c>
      <c r="AT9" s="250">
        <f>IF(AP9-AS9&lt;0,0,AP9-AS9)</f>
        <v>0</v>
      </c>
      <c r="AU9" s="249"/>
      <c r="AV9" s="250">
        <f>IF((AU9+Y9)&gt;0,(AU9+Y9)*AK9,0)</f>
        <v>0</v>
      </c>
      <c r="AW9" s="249"/>
      <c r="AX9" s="250">
        <f>IF((AW9+Z9)&gt;0,(AW9+Z9)*AK9,0)</f>
        <v>0</v>
      </c>
      <c r="AY9" s="216">
        <f>IF(AND(E9=G$24,N9=1,S9=1),O9,0)</f>
        <v>0</v>
      </c>
      <c r="AZ9" s="253">
        <f>IF(AY9&gt;(10*Описание!E$16),10*Описание!E$16,AY9)</f>
        <v>0</v>
      </c>
      <c r="BA9" s="250">
        <f>AZ9*3%</f>
        <v>0</v>
      </c>
      <c r="BB9" s="250"/>
      <c r="BC9" s="254"/>
      <c r="BD9" s="254"/>
      <c r="BE9" s="254"/>
    </row>
    <row r="10" spans="1:57" ht="13.2" customHeight="1" x14ac:dyDescent="0.25">
      <c r="A10" s="51">
        <v>2</v>
      </c>
      <c r="B10" s="214"/>
      <c r="C10" s="214"/>
      <c r="D10" s="214"/>
      <c r="E10" s="51" t="s">
        <v>398</v>
      </c>
      <c r="F10" s="214"/>
      <c r="G10" s="214"/>
      <c r="H10" s="51"/>
      <c r="I10" s="214"/>
      <c r="J10" s="214"/>
      <c r="K10" s="214"/>
      <c r="L10" s="214"/>
      <c r="M10" s="247">
        <v>0.1</v>
      </c>
      <c r="N10" s="248">
        <v>1</v>
      </c>
      <c r="O10" s="249"/>
      <c r="P10" s="249"/>
      <c r="Q10" s="221">
        <f>Описание!E$18</f>
        <v>4250000</v>
      </c>
      <c r="R10" s="216">
        <f>IF((O10-P10)&lt;Q10,O10-P10,Q10)</f>
        <v>0</v>
      </c>
      <c r="S10" s="216"/>
      <c r="T10" s="221">
        <f>Описание!E$22</f>
        <v>850000</v>
      </c>
      <c r="U10" s="216">
        <f>IF(O10&lt;T10,O10,T10)</f>
        <v>0</v>
      </c>
      <c r="V10" s="249"/>
      <c r="W10" s="249"/>
      <c r="X10" s="249"/>
      <c r="Y10" s="216">
        <f>IF(AND(E10=G$24,S10=1),(R10)*10%,0)</f>
        <v>0</v>
      </c>
      <c r="Z10" s="216">
        <f>IF(AND(E10=G$24,S10=1),(U10)*2%,0)</f>
        <v>0</v>
      </c>
      <c r="AA10" s="216"/>
      <c r="AB10" s="249"/>
      <c r="AC10" s="226" t="s">
        <v>399</v>
      </c>
      <c r="AD10" s="249"/>
      <c r="AE10" s="250">
        <f>IF(E10=G$24,O10-Y10-Z10-AB10-AD10-V10-W10-X10,O10)</f>
        <v>0</v>
      </c>
      <c r="AF10" s="250">
        <f>AE10*M10</f>
        <v>0</v>
      </c>
      <c r="AG10" s="258">
        <f>SUMIF(B$9:B$12,B10,AJ$4:AJ$7)</f>
        <v>0</v>
      </c>
      <c r="AH10" s="250">
        <f>O10-Y10-AF10-Z10</f>
        <v>0</v>
      </c>
      <c r="AI10" s="249"/>
      <c r="AJ10" s="250">
        <f>AG10+AH10-AI10</f>
        <v>0</v>
      </c>
      <c r="AK10" s="218">
        <f>IF(AI10=0,0,AI10/(AG10+AH10))</f>
        <v>0</v>
      </c>
      <c r="AL10" s="249"/>
      <c r="AM10" s="251">
        <f>IF(AJ10=0,AL10+AF10,(AF10+AL10)*AK10)</f>
        <v>0</v>
      </c>
      <c r="AN10" s="249"/>
      <c r="AO10" s="250">
        <f>O10-Y10-AN10-Z10</f>
        <v>0</v>
      </c>
      <c r="AP10" s="251">
        <f>AO10*9.5%</f>
        <v>0</v>
      </c>
      <c r="AQ10" s="252">
        <f>IF(AND(E10=G$24,S10=1),O10-Y10,0)</f>
        <v>0</v>
      </c>
      <c r="AR10" s="253">
        <f>IF(AQ10&gt;(7*Описание!E$16*3),7*Описание!E$16,AQ10)</f>
        <v>0</v>
      </c>
      <c r="AS10" s="250">
        <f>AR10*3.5%</f>
        <v>0</v>
      </c>
      <c r="AT10" s="250">
        <f>IF(AP10-AS10&lt;0,0,AP10-AS10)</f>
        <v>0</v>
      </c>
      <c r="AU10" s="249"/>
      <c r="AV10" s="250">
        <f>IF((AU10+Y10)&gt;0,(AU10+Y10)*AK10,0)</f>
        <v>0</v>
      </c>
      <c r="AW10" s="249"/>
      <c r="AX10" s="250">
        <f>IF((AW10+Z10)&gt;0,(AW10+Z10)*AK10,0)</f>
        <v>0</v>
      </c>
      <c r="AY10" s="216">
        <f>IF(AND(E10=G$24,N10=1,S10=1),O10,0)</f>
        <v>0</v>
      </c>
      <c r="AZ10" s="253">
        <f>IF(AY10&gt;(10*Описание!E$16),10*Описание!E$16,AY10)</f>
        <v>0</v>
      </c>
      <c r="BA10" s="250">
        <f t="shared" si="0"/>
        <v>0</v>
      </c>
      <c r="BB10" s="250"/>
      <c r="BC10" s="254"/>
      <c r="BD10" s="254"/>
    </row>
    <row r="11" spans="1:57" ht="13.2" customHeight="1" x14ac:dyDescent="0.25">
      <c r="A11" s="51">
        <v>3</v>
      </c>
      <c r="B11" s="214"/>
      <c r="C11" s="214"/>
      <c r="D11" s="214"/>
      <c r="E11" s="51" t="s">
        <v>395</v>
      </c>
      <c r="F11" s="214"/>
      <c r="G11" s="214"/>
      <c r="H11" s="51"/>
      <c r="I11" s="214"/>
      <c r="J11" s="214"/>
      <c r="K11" s="214"/>
      <c r="L11" s="214"/>
      <c r="M11" s="247">
        <v>0.1</v>
      </c>
      <c r="N11" s="248">
        <v>1</v>
      </c>
      <c r="O11" s="249"/>
      <c r="P11" s="249"/>
      <c r="Q11" s="221">
        <f>Описание!E$18</f>
        <v>4250000</v>
      </c>
      <c r="R11" s="216">
        <f>IF((O11-P11)&lt;Q11,O11-P11,Q11)</f>
        <v>0</v>
      </c>
      <c r="S11" s="216"/>
      <c r="T11" s="221">
        <f>Описание!E$22</f>
        <v>850000</v>
      </c>
      <c r="U11" s="216">
        <f>IF(O11&lt;T11,O11,T11)</f>
        <v>0</v>
      </c>
      <c r="V11" s="249"/>
      <c r="W11" s="249"/>
      <c r="X11" s="249"/>
      <c r="Y11" s="216">
        <f>IF(AND(E11=G$24,S11=1),(R11)*10%,0)</f>
        <v>0</v>
      </c>
      <c r="Z11" s="216">
        <f>IF(AND(E11=G$24,S11=1),(U11)*2%,0)</f>
        <v>0</v>
      </c>
      <c r="AA11" s="216" t="s">
        <v>396</v>
      </c>
      <c r="AB11" s="249"/>
      <c r="AC11" s="226" t="s">
        <v>400</v>
      </c>
      <c r="AD11" s="249"/>
      <c r="AE11" s="250">
        <f>IF(E11=G$24,O11-Y11-Z11-AB11-AD11-V11-W11-X11,O11)</f>
        <v>0</v>
      </c>
      <c r="AF11" s="250">
        <f>AE11*M11</f>
        <v>0</v>
      </c>
      <c r="AG11" s="258">
        <f>SUMIF(B$9:B$12,B11,AJ$4:AJ$7)</f>
        <v>0</v>
      </c>
      <c r="AH11" s="250">
        <f>O11-Y11-AF11-Z11</f>
        <v>0</v>
      </c>
      <c r="AI11" s="249"/>
      <c r="AJ11" s="250">
        <f>AG11+AH11-AI11</f>
        <v>0</v>
      </c>
      <c r="AK11" s="218">
        <f>IF(AI11=0,0,AI11/(AG11+AH11))</f>
        <v>0</v>
      </c>
      <c r="AL11" s="249"/>
      <c r="AM11" s="251">
        <f>IF(AJ11=0,AL11+AF11,(AF11+AL11)*AK11)</f>
        <v>0</v>
      </c>
      <c r="AN11" s="249"/>
      <c r="AO11" s="250">
        <f>O11-Y11-AN11-Z11</f>
        <v>0</v>
      </c>
      <c r="AP11" s="251">
        <f>AO11*9.5%</f>
        <v>0</v>
      </c>
      <c r="AQ11" s="252">
        <f>IF(AND(E11=G$24,S11=1),O11-Y11,0)</f>
        <v>0</v>
      </c>
      <c r="AR11" s="253">
        <f>IF(AQ11&gt;(7*Описание!E$16*3),7*Описание!E$16,AQ11)</f>
        <v>0</v>
      </c>
      <c r="AS11" s="250">
        <f>AR11*3.5%</f>
        <v>0</v>
      </c>
      <c r="AT11" s="250">
        <f>IF(AP11-AS11&lt;0,0,AP11-AS11)</f>
        <v>0</v>
      </c>
      <c r="AU11" s="249"/>
      <c r="AV11" s="250">
        <f>IF((AU11+Y11)&gt;0,(AU11+Y11)*AK11,0)</f>
        <v>0</v>
      </c>
      <c r="AW11" s="249"/>
      <c r="AX11" s="250">
        <f>IF((AW11+Z11)&gt;0,(AW11+Z11)*AK11,0)</f>
        <v>0</v>
      </c>
      <c r="AY11" s="216">
        <f>IF(AND(E11=G$24,N11=1,S11=1),O11,0)</f>
        <v>0</v>
      </c>
      <c r="AZ11" s="253">
        <f>IF(AY11&gt;(10*Описание!E$16),10*Описание!E$16,AY11)</f>
        <v>0</v>
      </c>
      <c r="BA11" s="250">
        <f t="shared" si="0"/>
        <v>0</v>
      </c>
      <c r="BB11" s="250"/>
      <c r="BC11" s="254"/>
      <c r="BD11" s="254"/>
      <c r="BE11" s="254"/>
    </row>
    <row r="12" spans="1:57" ht="13.2" customHeight="1" x14ac:dyDescent="0.25">
      <c r="A12" s="51">
        <v>4</v>
      </c>
      <c r="B12" s="214"/>
      <c r="C12" s="214"/>
      <c r="D12" s="214"/>
      <c r="E12" s="51" t="s">
        <v>398</v>
      </c>
      <c r="F12" s="214"/>
      <c r="G12" s="214"/>
      <c r="H12" s="51"/>
      <c r="I12" s="214"/>
      <c r="J12" s="214"/>
      <c r="K12" s="214"/>
      <c r="L12" s="214"/>
      <c r="M12" s="247">
        <v>0.2</v>
      </c>
      <c r="N12" s="248"/>
      <c r="O12" s="249"/>
      <c r="P12" s="249"/>
      <c r="Q12" s="221">
        <f>Описание!E$18</f>
        <v>4250000</v>
      </c>
      <c r="R12" s="216">
        <f>IF((O12-P12)&lt;Q12,O12-P12,Q12)</f>
        <v>0</v>
      </c>
      <c r="S12" s="216"/>
      <c r="T12" s="221">
        <f>Описание!E$22</f>
        <v>850000</v>
      </c>
      <c r="U12" s="216">
        <f>IF(O12&lt;T12,O12,T12)</f>
        <v>0</v>
      </c>
      <c r="V12" s="249"/>
      <c r="W12" s="249"/>
      <c r="X12" s="249"/>
      <c r="Y12" s="216">
        <f>IF(AND(E12=G$24,S12=1),(R12)*10%,0)</f>
        <v>0</v>
      </c>
      <c r="Z12" s="216">
        <f>IF(AND(E12=G$24,S12=1),(U12)*2%,0)</f>
        <v>0</v>
      </c>
      <c r="AA12" s="216"/>
      <c r="AB12" s="249"/>
      <c r="AC12" s="226"/>
      <c r="AD12" s="249"/>
      <c r="AE12" s="250">
        <f>IF(E12=G$24,O12-Y12-Z12-AB12-AD12-V12-W12-X12,O12)</f>
        <v>0</v>
      </c>
      <c r="AF12" s="250">
        <f>AE12*M12</f>
        <v>0</v>
      </c>
      <c r="AG12" s="258">
        <f>SUMIF(B$9:B$12,B12,AJ$4:AJ$7)</f>
        <v>0</v>
      </c>
      <c r="AH12" s="250">
        <f>O12-Y12-AF12-Z12</f>
        <v>0</v>
      </c>
      <c r="AI12" s="249"/>
      <c r="AJ12" s="250">
        <f>AG12+AH12-AI12</f>
        <v>0</v>
      </c>
      <c r="AK12" s="218">
        <f>IF(AI12=0,0,AI12/(AG12+AH12))</f>
        <v>0</v>
      </c>
      <c r="AL12" s="249">
        <v>0</v>
      </c>
      <c r="AM12" s="251">
        <f>IF(AJ12=0,AL12+AF12,(AF12+AL12)*AK12)</f>
        <v>0</v>
      </c>
      <c r="AN12" s="249"/>
      <c r="AO12" s="250">
        <f>O12-Y12-AN12-Z12</f>
        <v>0</v>
      </c>
      <c r="AP12" s="251">
        <f>AO12*9.5%</f>
        <v>0</v>
      </c>
      <c r="AQ12" s="252">
        <f>IF(AND(E12=G$24,S12=1),O12-Y12,0)</f>
        <v>0</v>
      </c>
      <c r="AR12" s="253">
        <f>IF(AQ12&gt;(7*Описание!E$16*3),7*Описание!E$16,AQ12)</f>
        <v>0</v>
      </c>
      <c r="AS12" s="250">
        <f>AR12*3.5%</f>
        <v>0</v>
      </c>
      <c r="AT12" s="250">
        <f>IF(AP12-AS12&lt;0,0,AP12-AS12)</f>
        <v>0</v>
      </c>
      <c r="AU12" s="249"/>
      <c r="AV12" s="250">
        <f>IF((AU12+Y12)&gt;0,(AU12+Y12)*AK12,0)</f>
        <v>0</v>
      </c>
      <c r="AW12" s="249"/>
      <c r="AX12" s="250">
        <f>IF((AW12+Z12)&gt;0,(AW12+Z12)*AK12,0)</f>
        <v>0</v>
      </c>
      <c r="AY12" s="216">
        <f>IF(AND(E12=G$24,N12=1,S12=1),O12,0)</f>
        <v>0</v>
      </c>
      <c r="AZ12" s="253">
        <f>IF(AY12&gt;(10*Описание!E$16),10*Описание!E$16,AY12)</f>
        <v>0</v>
      </c>
      <c r="BA12" s="250">
        <f t="shared" si="0"/>
        <v>0</v>
      </c>
      <c r="BB12" s="250"/>
    </row>
    <row r="13" spans="1:57" x14ac:dyDescent="0.25">
      <c r="A13" s="51"/>
      <c r="B13" s="229" t="s">
        <v>414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55">
        <f>SUM(O9:O12)</f>
        <v>0</v>
      </c>
      <c r="P13" s="255"/>
      <c r="Q13" s="256">
        <f t="shared" ref="Q13:X13" si="3">SUM(Q9:Q12)</f>
        <v>17000000</v>
      </c>
      <c r="R13" s="255">
        <f t="shared" si="3"/>
        <v>0</v>
      </c>
      <c r="S13" s="255"/>
      <c r="T13" s="256">
        <f t="shared" si="3"/>
        <v>3400000</v>
      </c>
      <c r="U13" s="255">
        <f t="shared" si="3"/>
        <v>0</v>
      </c>
      <c r="V13" s="255">
        <f t="shared" si="3"/>
        <v>0</v>
      </c>
      <c r="W13" s="255">
        <f t="shared" si="3"/>
        <v>0</v>
      </c>
      <c r="X13" s="255">
        <f t="shared" si="3"/>
        <v>0</v>
      </c>
      <c r="Y13" s="255">
        <f>SUM(Y9:Y12)</f>
        <v>0</v>
      </c>
      <c r="Z13" s="255">
        <f>SUM(Z9:Z12)</f>
        <v>0</v>
      </c>
      <c r="AA13" s="255">
        <f>SUM(AA9:AA12)</f>
        <v>0</v>
      </c>
      <c r="AB13" s="255">
        <f>SUM(AB9:AB12)</f>
        <v>0</v>
      </c>
      <c r="AC13" s="257"/>
      <c r="AD13" s="255"/>
      <c r="AE13" s="255">
        <f t="shared" ref="AE13:AJ13" si="4">SUM(AE9:AE12)</f>
        <v>0</v>
      </c>
      <c r="AF13" s="255">
        <f t="shared" si="4"/>
        <v>0</v>
      </c>
      <c r="AG13" s="255">
        <f t="shared" si="4"/>
        <v>0</v>
      </c>
      <c r="AH13" s="255">
        <f t="shared" si="4"/>
        <v>0</v>
      </c>
      <c r="AI13" s="255">
        <f t="shared" si="4"/>
        <v>0</v>
      </c>
      <c r="AJ13" s="255">
        <f t="shared" si="4"/>
        <v>0</v>
      </c>
      <c r="AK13" s="255"/>
      <c r="AL13" s="255">
        <f t="shared" ref="AL13:BA13" si="5">SUM(AL9:AL12)</f>
        <v>0</v>
      </c>
      <c r="AM13" s="255">
        <f t="shared" si="5"/>
        <v>0</v>
      </c>
      <c r="AN13" s="255">
        <f t="shared" si="5"/>
        <v>0</v>
      </c>
      <c r="AO13" s="255">
        <f t="shared" si="5"/>
        <v>0</v>
      </c>
      <c r="AP13" s="255">
        <f t="shared" si="5"/>
        <v>0</v>
      </c>
      <c r="AQ13" s="255">
        <f t="shared" si="5"/>
        <v>0</v>
      </c>
      <c r="AR13" s="256">
        <f t="shared" si="5"/>
        <v>0</v>
      </c>
      <c r="AS13" s="255">
        <f t="shared" si="5"/>
        <v>0</v>
      </c>
      <c r="AT13" s="255">
        <f t="shared" si="5"/>
        <v>0</v>
      </c>
      <c r="AU13" s="255">
        <f t="shared" si="5"/>
        <v>0</v>
      </c>
      <c r="AV13" s="255">
        <f t="shared" si="5"/>
        <v>0</v>
      </c>
      <c r="AW13" s="255">
        <f t="shared" si="5"/>
        <v>0</v>
      </c>
      <c r="AX13" s="255">
        <f t="shared" si="5"/>
        <v>0</v>
      </c>
      <c r="AY13" s="255">
        <f t="shared" si="5"/>
        <v>0</v>
      </c>
      <c r="AZ13" s="256">
        <f t="shared" si="5"/>
        <v>0</v>
      </c>
      <c r="BA13" s="255">
        <f t="shared" si="5"/>
        <v>0</v>
      </c>
      <c r="BB13" s="255">
        <f>SUM(BB9:BB12)</f>
        <v>0</v>
      </c>
    </row>
    <row r="14" spans="1:57" ht="13.2" customHeight="1" x14ac:dyDescent="0.25">
      <c r="A14" s="51">
        <v>1</v>
      </c>
      <c r="B14" s="214" t="s">
        <v>443</v>
      </c>
      <c r="C14" s="214"/>
      <c r="D14" s="214"/>
      <c r="E14" s="51" t="s">
        <v>398</v>
      </c>
      <c r="F14" s="214"/>
      <c r="G14" s="214"/>
      <c r="H14" s="51"/>
      <c r="I14" s="214"/>
      <c r="J14" s="214"/>
      <c r="K14" s="214"/>
      <c r="L14" s="214"/>
      <c r="M14" s="247">
        <v>0.1</v>
      </c>
      <c r="N14" s="248">
        <v>1</v>
      </c>
      <c r="O14" s="249"/>
      <c r="P14" s="249"/>
      <c r="Q14" s="221">
        <f>Описание!E$18</f>
        <v>4250000</v>
      </c>
      <c r="R14" s="216">
        <f>IF((O14-P14)&lt;Q14,O14-P14,Q14)</f>
        <v>0</v>
      </c>
      <c r="S14" s="216">
        <v>1</v>
      </c>
      <c r="T14" s="221">
        <f>Описание!E$22</f>
        <v>850000</v>
      </c>
      <c r="U14" s="216">
        <f>IF(O14&lt;T14,O14,T14)</f>
        <v>0</v>
      </c>
      <c r="V14" s="249"/>
      <c r="W14" s="249"/>
      <c r="X14" s="249"/>
      <c r="Y14" s="216">
        <f>IF(AND(E14=G$24,S14=1),(R14)*10%,0)</f>
        <v>0</v>
      </c>
      <c r="Z14" s="216">
        <f>IF(AND(E14=G$24,S14=1),(U14)*2%,0)</f>
        <v>0</v>
      </c>
      <c r="AA14" s="216" t="s">
        <v>396</v>
      </c>
      <c r="AB14" s="249"/>
      <c r="AC14" s="226" t="s">
        <v>397</v>
      </c>
      <c r="AD14" s="249"/>
      <c r="AE14" s="250">
        <f>IF(E14=G$24,O14-Y14-Z14-AB14-AD14-V14-W14-X14,O14)</f>
        <v>0</v>
      </c>
      <c r="AF14" s="250">
        <f>AE14*M14</f>
        <v>0</v>
      </c>
      <c r="AG14" s="258">
        <f>SUMIF(B$9:B$12,B14,AJ$9:AJ$12)</f>
        <v>0</v>
      </c>
      <c r="AH14" s="250">
        <f>O14-Y14-AF14-Z14</f>
        <v>0</v>
      </c>
      <c r="AI14" s="249"/>
      <c r="AJ14" s="250">
        <f>AG14+AH14-AI14</f>
        <v>0</v>
      </c>
      <c r="AK14" s="218">
        <f>IF(AI14=0,0,AI14/(AG14+AH14))</f>
        <v>0</v>
      </c>
      <c r="AL14" s="249"/>
      <c r="AM14" s="251">
        <f>IF(AJ14=0,AL14+AF14,(AF14+AL14)*AK14)</f>
        <v>0</v>
      </c>
      <c r="AN14" s="249"/>
      <c r="AO14" s="250">
        <f>O14-Y14-AN14-Z14</f>
        <v>0</v>
      </c>
      <c r="AP14" s="251">
        <f>AO14*9.5%</f>
        <v>0</v>
      </c>
      <c r="AQ14" s="252">
        <f>IF(AND(E14=G$24,S14=1),O14-Y14,0)</f>
        <v>0</v>
      </c>
      <c r="AR14" s="253">
        <f>IF(AQ14&gt;(7*Описание!E$16*3),7*Описание!E$16,AQ14)</f>
        <v>0</v>
      </c>
      <c r="AS14" s="250">
        <f>AR14*3.5%</f>
        <v>0</v>
      </c>
      <c r="AT14" s="250">
        <f>IF(AP14-AS14&lt;0,0,AP14-AS14)</f>
        <v>0</v>
      </c>
      <c r="AU14" s="249"/>
      <c r="AV14" s="250">
        <f>IF((AU14+Y14)&gt;0,(AU14+Y14)*AK14,0)</f>
        <v>0</v>
      </c>
      <c r="AW14" s="249"/>
      <c r="AX14" s="250">
        <f>IF((AW14+Z14)&gt;0,(AW14+Z14)*AK14,0)</f>
        <v>0</v>
      </c>
      <c r="AY14" s="216">
        <f>IF(AND(E14=G$24,N14=1,S14=1),O14,0)</f>
        <v>0</v>
      </c>
      <c r="AZ14" s="253">
        <f>IF(AY14&gt;(10*Описание!E$16),10*Описание!E$16,AY14)</f>
        <v>0</v>
      </c>
      <c r="BA14" s="250">
        <f>AZ14*3%</f>
        <v>0</v>
      </c>
      <c r="BB14" s="250"/>
      <c r="BC14" s="254"/>
      <c r="BD14" s="254"/>
      <c r="BE14" s="254"/>
    </row>
    <row r="15" spans="1:57" ht="13.2" customHeight="1" x14ac:dyDescent="0.25">
      <c r="A15" s="51">
        <v>2</v>
      </c>
      <c r="B15" s="214"/>
      <c r="C15" s="214"/>
      <c r="D15" s="214"/>
      <c r="E15" s="51" t="s">
        <v>398</v>
      </c>
      <c r="F15" s="214"/>
      <c r="G15" s="214"/>
      <c r="H15" s="51"/>
      <c r="I15" s="214"/>
      <c r="J15" s="214"/>
      <c r="K15" s="214"/>
      <c r="L15" s="214"/>
      <c r="M15" s="247">
        <v>0.1</v>
      </c>
      <c r="N15" s="248">
        <v>1</v>
      </c>
      <c r="O15" s="249"/>
      <c r="P15" s="249"/>
      <c r="Q15" s="221">
        <f>Описание!E$18</f>
        <v>4250000</v>
      </c>
      <c r="R15" s="216">
        <f>IF((O15-P15)&lt;Q15,O15-P15,Q15)</f>
        <v>0</v>
      </c>
      <c r="S15" s="216"/>
      <c r="T15" s="221">
        <f>Описание!E$22</f>
        <v>850000</v>
      </c>
      <c r="U15" s="216">
        <f>IF(O15&lt;T15,O15,T15)</f>
        <v>0</v>
      </c>
      <c r="V15" s="249"/>
      <c r="W15" s="249"/>
      <c r="X15" s="249"/>
      <c r="Y15" s="216">
        <f>IF(AND(E15=G$24,S15=1),(R15)*10%,0)</f>
        <v>0</v>
      </c>
      <c r="Z15" s="216">
        <f>IF(AND(E15=G$24,S15=1),(U15)*2%,0)</f>
        <v>0</v>
      </c>
      <c r="AA15" s="216"/>
      <c r="AB15" s="249"/>
      <c r="AC15" s="226" t="s">
        <v>399</v>
      </c>
      <c r="AD15" s="249"/>
      <c r="AE15" s="250">
        <f>IF(E15=G$24,O15-Y15-Z15-AB15-AD15-V15-W15-X15,O15)</f>
        <v>0</v>
      </c>
      <c r="AF15" s="250">
        <f>AE15*M15</f>
        <v>0</v>
      </c>
      <c r="AG15" s="258">
        <f>SUMIF(B$9:B$12,B15,AJ$9:AJ$12)</f>
        <v>0</v>
      </c>
      <c r="AH15" s="250">
        <f>O15-Y15-AF15-Z15</f>
        <v>0</v>
      </c>
      <c r="AI15" s="249"/>
      <c r="AJ15" s="250">
        <f>AG15+AH15-AI15</f>
        <v>0</v>
      </c>
      <c r="AK15" s="218">
        <f>IF(AI15=0,0,AI15/(AG15+AH15))</f>
        <v>0</v>
      </c>
      <c r="AL15" s="249"/>
      <c r="AM15" s="251">
        <f>IF(AJ15=0,AL15+AF15,(AF15+AL15)*AK15)</f>
        <v>0</v>
      </c>
      <c r="AN15" s="249"/>
      <c r="AO15" s="250">
        <f>O15-Y15-AN15-Z15</f>
        <v>0</v>
      </c>
      <c r="AP15" s="251">
        <f>AO15*9.5%</f>
        <v>0</v>
      </c>
      <c r="AQ15" s="252">
        <f>IF(AND(E15=G$24,S15=1),O15-Y15,0)</f>
        <v>0</v>
      </c>
      <c r="AR15" s="253">
        <f>IF(AQ15&gt;(7*Описание!E$16*3),7*Описание!E$16,AQ15)</f>
        <v>0</v>
      </c>
      <c r="AS15" s="250">
        <f>AR15*3.5%</f>
        <v>0</v>
      </c>
      <c r="AT15" s="250">
        <f>IF(AP15-AS15&lt;0,0,AP15-AS15)</f>
        <v>0</v>
      </c>
      <c r="AU15" s="249"/>
      <c r="AV15" s="250">
        <f>IF((AU15+Y15)&gt;0,(AU15+Y15)*AK15,0)</f>
        <v>0</v>
      </c>
      <c r="AW15" s="249"/>
      <c r="AX15" s="250">
        <f>IF((AW15+Z15)&gt;0,(AW15+Z15)*AK15,0)</f>
        <v>0</v>
      </c>
      <c r="AY15" s="216">
        <f>IF(AND(E15=G$24,N15=1,S15=1),O15,0)</f>
        <v>0</v>
      </c>
      <c r="AZ15" s="253">
        <f>IF(AY15&gt;(10*Описание!E$16),10*Описание!E$16,AY15)</f>
        <v>0</v>
      </c>
      <c r="BA15" s="250">
        <f t="shared" si="0"/>
        <v>0</v>
      </c>
      <c r="BB15" s="250"/>
      <c r="BC15" s="254"/>
      <c r="BD15" s="254"/>
    </row>
    <row r="16" spans="1:57" ht="13.2" customHeight="1" x14ac:dyDescent="0.25">
      <c r="A16" s="51">
        <v>3</v>
      </c>
      <c r="B16" s="214"/>
      <c r="C16" s="214"/>
      <c r="D16" s="214"/>
      <c r="E16" s="51" t="s">
        <v>395</v>
      </c>
      <c r="F16" s="214"/>
      <c r="G16" s="214"/>
      <c r="H16" s="51"/>
      <c r="I16" s="214"/>
      <c r="J16" s="214"/>
      <c r="K16" s="214"/>
      <c r="L16" s="214"/>
      <c r="M16" s="247">
        <v>0.1</v>
      </c>
      <c r="N16" s="248">
        <v>1</v>
      </c>
      <c r="O16" s="249"/>
      <c r="P16" s="249"/>
      <c r="Q16" s="221">
        <f>Описание!E$18</f>
        <v>4250000</v>
      </c>
      <c r="R16" s="216">
        <f>IF((O16-P16)&lt;Q16,O16-P16,Q16)</f>
        <v>0</v>
      </c>
      <c r="S16" s="216"/>
      <c r="T16" s="221">
        <f>Описание!E$22</f>
        <v>850000</v>
      </c>
      <c r="U16" s="216">
        <f>IF(O16&lt;T16,O16,T16)</f>
        <v>0</v>
      </c>
      <c r="V16" s="249"/>
      <c r="W16" s="249"/>
      <c r="X16" s="249"/>
      <c r="Y16" s="216">
        <f>IF(AND(E16=G$24,S16=1),(R16)*10%,0)</f>
        <v>0</v>
      </c>
      <c r="Z16" s="216">
        <f>IF(AND(E16=G$24,S16=1),(U16)*2%,0)</f>
        <v>0</v>
      </c>
      <c r="AA16" s="216" t="s">
        <v>396</v>
      </c>
      <c r="AB16" s="249"/>
      <c r="AC16" s="226" t="s">
        <v>400</v>
      </c>
      <c r="AD16" s="249"/>
      <c r="AE16" s="250">
        <f>IF(E16=G$24,O16-Y16-Z16-AB16-AD16-V16-W16-X16,O16)</f>
        <v>0</v>
      </c>
      <c r="AF16" s="250">
        <f>AE16*M16</f>
        <v>0</v>
      </c>
      <c r="AG16" s="258">
        <f>SUMIF(B$9:B$12,B16,AJ$9:AJ$12)</f>
        <v>0</v>
      </c>
      <c r="AH16" s="250">
        <f>O16-Y16-AF16-Z16</f>
        <v>0</v>
      </c>
      <c r="AI16" s="249"/>
      <c r="AJ16" s="250">
        <f>AG16+AH16-AI16</f>
        <v>0</v>
      </c>
      <c r="AK16" s="218">
        <f>IF(AI16=0,0,AI16/(AG16+AH16))</f>
        <v>0</v>
      </c>
      <c r="AL16" s="249"/>
      <c r="AM16" s="251">
        <f>IF(AJ16=0,AL16+AF16,(AF16+AL16)*AK16)</f>
        <v>0</v>
      </c>
      <c r="AN16" s="249"/>
      <c r="AO16" s="250">
        <f>O16-Y16-AN16-Z16</f>
        <v>0</v>
      </c>
      <c r="AP16" s="251">
        <f>AO16*9.5%</f>
        <v>0</v>
      </c>
      <c r="AQ16" s="252">
        <f>IF(AND(E16=G$24,S16=1),O16-Y16,0)</f>
        <v>0</v>
      </c>
      <c r="AR16" s="253">
        <f>IF(AQ16&gt;(7*Описание!E$16*3),7*Описание!E$16,AQ16)</f>
        <v>0</v>
      </c>
      <c r="AS16" s="250">
        <f>AR16*3.5%</f>
        <v>0</v>
      </c>
      <c r="AT16" s="250">
        <f>IF(AP16-AS16&lt;0,0,AP16-AS16)</f>
        <v>0</v>
      </c>
      <c r="AU16" s="249"/>
      <c r="AV16" s="250">
        <f>IF((AU16+Y16)&gt;0,(AU16+Y16)*AK16,0)</f>
        <v>0</v>
      </c>
      <c r="AW16" s="249"/>
      <c r="AX16" s="250">
        <f>IF((AW16+Z16)&gt;0,(AW16+Z16)*AK16,0)</f>
        <v>0</v>
      </c>
      <c r="AY16" s="216">
        <f>IF(AND(E16=G$24,N16=1,S16=1),O16,0)</f>
        <v>0</v>
      </c>
      <c r="AZ16" s="253">
        <f>IF(AY16&gt;(10*Описание!E$16),10*Описание!E$16,AY16)</f>
        <v>0</v>
      </c>
      <c r="BA16" s="250">
        <f t="shared" si="0"/>
        <v>0</v>
      </c>
      <c r="BB16" s="250"/>
      <c r="BC16" s="254"/>
      <c r="BD16" s="254"/>
      <c r="BE16" s="254"/>
    </row>
    <row r="17" spans="1:54" ht="13.2" customHeight="1" x14ac:dyDescent="0.25">
      <c r="A17" s="51">
        <v>4</v>
      </c>
      <c r="B17" s="214"/>
      <c r="C17" s="214"/>
      <c r="D17" s="214"/>
      <c r="E17" s="51" t="s">
        <v>398</v>
      </c>
      <c r="F17" s="214"/>
      <c r="G17" s="214"/>
      <c r="H17" s="51"/>
      <c r="I17" s="214"/>
      <c r="J17" s="214"/>
      <c r="K17" s="214"/>
      <c r="L17" s="214"/>
      <c r="M17" s="247">
        <v>0.2</v>
      </c>
      <c r="N17" s="248"/>
      <c r="O17" s="249"/>
      <c r="P17" s="249"/>
      <c r="Q17" s="221">
        <f>Описание!E$18</f>
        <v>4250000</v>
      </c>
      <c r="R17" s="216">
        <f>IF((O17-P17)&lt;Q17,O17-P17,Q17)</f>
        <v>0</v>
      </c>
      <c r="S17" s="216"/>
      <c r="T17" s="221">
        <f>Описание!E$22</f>
        <v>850000</v>
      </c>
      <c r="U17" s="216">
        <f>IF(O17&lt;T17,O17,T17)</f>
        <v>0</v>
      </c>
      <c r="V17" s="249"/>
      <c r="W17" s="249"/>
      <c r="X17" s="249"/>
      <c r="Y17" s="216">
        <f>IF(AND(E17=G$24,S17=1),(R17)*10%,0)</f>
        <v>0</v>
      </c>
      <c r="Z17" s="216">
        <f>IF(AND(E17=G$24,S17=1),(U17)*2%,0)</f>
        <v>0</v>
      </c>
      <c r="AA17" s="216"/>
      <c r="AB17" s="249"/>
      <c r="AC17" s="226"/>
      <c r="AD17" s="249"/>
      <c r="AE17" s="250">
        <f>IF(E17=G$24,O17-Y17-Z17-AB17-AD17-V17-W17-X17,O17)</f>
        <v>0</v>
      </c>
      <c r="AF17" s="250">
        <f>AE17*M17</f>
        <v>0</v>
      </c>
      <c r="AG17" s="258">
        <f>SUMIF(B$9:B$12,B17,AJ$9:AJ$12)</f>
        <v>0</v>
      </c>
      <c r="AH17" s="250">
        <f>O17-Y17-AF17-Z17</f>
        <v>0</v>
      </c>
      <c r="AI17" s="249"/>
      <c r="AJ17" s="250">
        <f>AG17+AH17-AI17</f>
        <v>0</v>
      </c>
      <c r="AK17" s="218">
        <f>IF(AI17=0,0,AI17/(AG17+AH17))</f>
        <v>0</v>
      </c>
      <c r="AL17" s="249">
        <v>0</v>
      </c>
      <c r="AM17" s="251">
        <f>IF(AJ17=0,AL17+AF17,(AF17+AL17)*AK17)</f>
        <v>0</v>
      </c>
      <c r="AN17" s="249"/>
      <c r="AO17" s="250">
        <f>O17-Y17-AN17-Z17</f>
        <v>0</v>
      </c>
      <c r="AP17" s="251">
        <f>AO17*9.5%</f>
        <v>0</v>
      </c>
      <c r="AQ17" s="252">
        <f>IF(AND(E17=G$24,S17=1),O17-Y17,0)</f>
        <v>0</v>
      </c>
      <c r="AR17" s="253">
        <f>IF(AQ17&gt;(7*Описание!E$16*3),7*Описание!E$16,AQ17)</f>
        <v>0</v>
      </c>
      <c r="AS17" s="250">
        <f>AR17*3.5%</f>
        <v>0</v>
      </c>
      <c r="AT17" s="250">
        <f>IF(AP17-AS17&lt;0,0,AP17-AS17)</f>
        <v>0</v>
      </c>
      <c r="AU17" s="249"/>
      <c r="AV17" s="250">
        <f>IF((AU17+Y17)&gt;0,(AU17+Y17)*AK17,0)</f>
        <v>0</v>
      </c>
      <c r="AW17" s="249"/>
      <c r="AX17" s="250">
        <f>IF((AW17+Z17)&gt;0,(AW17+Z17)*AK17,0)</f>
        <v>0</v>
      </c>
      <c r="AY17" s="216">
        <f>IF(AND(E17=G$24,N17=1,S17=1),O17,0)</f>
        <v>0</v>
      </c>
      <c r="AZ17" s="253">
        <f>IF(AY17&gt;(10*Описание!E$16),10*Описание!E$16,AY17)</f>
        <v>0</v>
      </c>
      <c r="BA17" s="250">
        <f t="shared" si="0"/>
        <v>0</v>
      </c>
      <c r="BB17" s="250"/>
    </row>
    <row r="18" spans="1:54" x14ac:dyDescent="0.25">
      <c r="A18" s="51"/>
      <c r="B18" s="229" t="s">
        <v>415</v>
      </c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55">
        <f>SUM(O14:O17)</f>
        <v>0</v>
      </c>
      <c r="P18" s="255"/>
      <c r="Q18" s="255">
        <f t="shared" ref="Q18:X18" si="6">SUM(Q14:Q17)</f>
        <v>17000000</v>
      </c>
      <c r="R18" s="255">
        <f t="shared" si="6"/>
        <v>0</v>
      </c>
      <c r="S18" s="255"/>
      <c r="T18" s="255">
        <f t="shared" si="6"/>
        <v>3400000</v>
      </c>
      <c r="U18" s="255">
        <f t="shared" si="6"/>
        <v>0</v>
      </c>
      <c r="V18" s="255">
        <f t="shared" si="6"/>
        <v>0</v>
      </c>
      <c r="W18" s="255">
        <f t="shared" si="6"/>
        <v>0</v>
      </c>
      <c r="X18" s="255">
        <f t="shared" si="6"/>
        <v>0</v>
      </c>
      <c r="Y18" s="255">
        <f>SUM(Y14:Y17)</f>
        <v>0</v>
      </c>
      <c r="Z18" s="255">
        <f>SUM(Z14:Z17)</f>
        <v>0</v>
      </c>
      <c r="AA18" s="255">
        <f>SUM(AA14:AA17)</f>
        <v>0</v>
      </c>
      <c r="AB18" s="255">
        <f>SUM(AB14:AB17)</f>
        <v>0</v>
      </c>
      <c r="AC18" s="255"/>
      <c r="AD18" s="255"/>
      <c r="AE18" s="255">
        <f t="shared" ref="AE18:AJ18" si="7">SUM(AE14:AE17)</f>
        <v>0</v>
      </c>
      <c r="AF18" s="255">
        <f t="shared" si="7"/>
        <v>0</v>
      </c>
      <c r="AG18" s="255">
        <f t="shared" si="7"/>
        <v>0</v>
      </c>
      <c r="AH18" s="255">
        <f t="shared" si="7"/>
        <v>0</v>
      </c>
      <c r="AI18" s="255">
        <f t="shared" si="7"/>
        <v>0</v>
      </c>
      <c r="AJ18" s="255">
        <f t="shared" si="7"/>
        <v>0</v>
      </c>
      <c r="AK18" s="255"/>
      <c r="AL18" s="255">
        <f t="shared" ref="AL18:BA18" si="8">SUM(AL14:AL17)</f>
        <v>0</v>
      </c>
      <c r="AM18" s="255">
        <f t="shared" si="8"/>
        <v>0</v>
      </c>
      <c r="AN18" s="255">
        <f t="shared" si="8"/>
        <v>0</v>
      </c>
      <c r="AO18" s="255">
        <f t="shared" si="8"/>
        <v>0</v>
      </c>
      <c r="AP18" s="255">
        <f t="shared" si="8"/>
        <v>0</v>
      </c>
      <c r="AQ18" s="255">
        <f t="shared" si="8"/>
        <v>0</v>
      </c>
      <c r="AR18" s="255">
        <f t="shared" si="8"/>
        <v>0</v>
      </c>
      <c r="AS18" s="255">
        <f t="shared" si="8"/>
        <v>0</v>
      </c>
      <c r="AT18" s="255">
        <f t="shared" si="8"/>
        <v>0</v>
      </c>
      <c r="AU18" s="255">
        <f t="shared" si="8"/>
        <v>0</v>
      </c>
      <c r="AV18" s="255">
        <f t="shared" si="8"/>
        <v>0</v>
      </c>
      <c r="AW18" s="255">
        <f t="shared" si="8"/>
        <v>0</v>
      </c>
      <c r="AX18" s="255">
        <f t="shared" si="8"/>
        <v>0</v>
      </c>
      <c r="AY18" s="255">
        <f t="shared" si="8"/>
        <v>0</v>
      </c>
      <c r="AZ18" s="255">
        <f t="shared" si="8"/>
        <v>0</v>
      </c>
      <c r="BA18" s="255">
        <f t="shared" si="8"/>
        <v>0</v>
      </c>
      <c r="BB18" s="255">
        <f>SUM(BB14:BB17)</f>
        <v>0</v>
      </c>
    </row>
    <row r="19" spans="1:54" x14ac:dyDescent="0.25">
      <c r="A19" s="51"/>
      <c r="B19" s="229" t="s">
        <v>401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55">
        <f>O18+O13+O8</f>
        <v>0</v>
      </c>
      <c r="P19" s="255"/>
      <c r="Q19" s="255">
        <f t="shared" ref="Q19:X19" si="9">Q18+Q13+Q8</f>
        <v>51000000</v>
      </c>
      <c r="R19" s="255">
        <f t="shared" si="9"/>
        <v>0</v>
      </c>
      <c r="S19" s="255"/>
      <c r="T19" s="255">
        <f t="shared" si="9"/>
        <v>10200000</v>
      </c>
      <c r="U19" s="255">
        <f t="shared" si="9"/>
        <v>0</v>
      </c>
      <c r="V19" s="255">
        <f t="shared" si="9"/>
        <v>0</v>
      </c>
      <c r="W19" s="255">
        <f t="shared" si="9"/>
        <v>0</v>
      </c>
      <c r="X19" s="255">
        <f t="shared" si="9"/>
        <v>0</v>
      </c>
      <c r="Y19" s="255">
        <f>Y18+Y13+Y8</f>
        <v>0</v>
      </c>
      <c r="Z19" s="255">
        <f>Z18+Z13+Z8</f>
        <v>0</v>
      </c>
      <c r="AA19" s="255">
        <f>AA18+AA13+AA8</f>
        <v>0</v>
      </c>
      <c r="AB19" s="255">
        <f>AB18+AB13+AB8</f>
        <v>0</v>
      </c>
      <c r="AC19" s="255"/>
      <c r="AD19" s="255"/>
      <c r="AE19" s="255">
        <f>AE18+AE13+AE8</f>
        <v>0</v>
      </c>
      <c r="AF19" s="255">
        <f t="shared" ref="AF19:BA19" si="10">AF18+AF13+AF8</f>
        <v>0</v>
      </c>
      <c r="AG19" s="255">
        <f t="shared" si="10"/>
        <v>0</v>
      </c>
      <c r="AH19" s="255">
        <f t="shared" si="10"/>
        <v>0</v>
      </c>
      <c r="AI19" s="255">
        <f t="shared" si="10"/>
        <v>0</v>
      </c>
      <c r="AJ19" s="255">
        <f>AJ18+AJ13+AJ8</f>
        <v>0</v>
      </c>
      <c r="AK19" s="255">
        <f t="shared" si="10"/>
        <v>0</v>
      </c>
      <c r="AL19" s="255">
        <f t="shared" si="10"/>
        <v>0</v>
      </c>
      <c r="AM19" s="255">
        <f t="shared" si="10"/>
        <v>0</v>
      </c>
      <c r="AN19" s="255">
        <f t="shared" si="10"/>
        <v>0</v>
      </c>
      <c r="AO19" s="255">
        <f t="shared" si="10"/>
        <v>0</v>
      </c>
      <c r="AP19" s="255">
        <f t="shared" si="10"/>
        <v>0</v>
      </c>
      <c r="AQ19" s="255">
        <f t="shared" si="10"/>
        <v>0</v>
      </c>
      <c r="AR19" s="255">
        <f t="shared" si="10"/>
        <v>0</v>
      </c>
      <c r="AS19" s="255">
        <f t="shared" si="10"/>
        <v>0</v>
      </c>
      <c r="AT19" s="255">
        <f t="shared" si="10"/>
        <v>0</v>
      </c>
      <c r="AU19" s="255">
        <f t="shared" si="10"/>
        <v>0</v>
      </c>
      <c r="AV19" s="255">
        <f t="shared" si="10"/>
        <v>0</v>
      </c>
      <c r="AW19" s="255">
        <f t="shared" si="10"/>
        <v>0</v>
      </c>
      <c r="AX19" s="255">
        <f t="shared" si="10"/>
        <v>0</v>
      </c>
      <c r="AY19" s="255">
        <f t="shared" si="10"/>
        <v>0</v>
      </c>
      <c r="AZ19" s="255">
        <f t="shared" si="10"/>
        <v>0</v>
      </c>
      <c r="BA19" s="255">
        <f t="shared" si="10"/>
        <v>0</v>
      </c>
      <c r="BB19" s="255">
        <f>BB18+BB13+BB8</f>
        <v>0</v>
      </c>
    </row>
    <row r="22" spans="1:54" x14ac:dyDescent="0.25">
      <c r="AA22" s="239" t="s">
        <v>426</v>
      </c>
      <c r="AC22" s="239" t="s">
        <v>397</v>
      </c>
      <c r="AG22" s="259"/>
    </row>
    <row r="23" spans="1:54" x14ac:dyDescent="0.25">
      <c r="B23" s="48" t="s">
        <v>402</v>
      </c>
      <c r="G23" s="48" t="s">
        <v>427</v>
      </c>
      <c r="AA23" s="239" t="s">
        <v>403</v>
      </c>
      <c r="AC23" s="239" t="s">
        <v>399</v>
      </c>
    </row>
    <row r="24" spans="1:54" x14ac:dyDescent="0.25">
      <c r="B24" s="48" t="s">
        <v>404</v>
      </c>
      <c r="G24" s="235" t="s">
        <v>395</v>
      </c>
      <c r="AA24" s="239" t="s">
        <v>405</v>
      </c>
      <c r="AC24" s="239" t="s">
        <v>400</v>
      </c>
    </row>
    <row r="25" spans="1:54" x14ac:dyDescent="0.25">
      <c r="B25" s="235" t="s">
        <v>406</v>
      </c>
      <c r="G25" s="48" t="s">
        <v>398</v>
      </c>
    </row>
    <row r="26" spans="1:54" x14ac:dyDescent="0.25">
      <c r="B26" s="235" t="s">
        <v>407</v>
      </c>
    </row>
    <row r="27" spans="1:54" x14ac:dyDescent="0.25">
      <c r="B27" s="235" t="s">
        <v>408</v>
      </c>
    </row>
    <row r="28" spans="1:54" x14ac:dyDescent="0.25">
      <c r="B28" s="235"/>
    </row>
    <row r="29" spans="1:54" ht="13.8" thickBot="1" x14ac:dyDescent="0.3"/>
    <row r="30" spans="1:54" ht="145.80000000000001" thickBot="1" x14ac:dyDescent="0.3">
      <c r="A30" s="44" t="s">
        <v>88</v>
      </c>
      <c r="B30" s="44" t="s">
        <v>324</v>
      </c>
      <c r="C30" s="227" t="s">
        <v>325</v>
      </c>
      <c r="D30" s="227" t="s">
        <v>326</v>
      </c>
      <c r="E30" s="227" t="s">
        <v>327</v>
      </c>
      <c r="F30" s="227" t="s">
        <v>328</v>
      </c>
      <c r="G30" s="227" t="s">
        <v>329</v>
      </c>
      <c r="H30" s="310" t="s">
        <v>330</v>
      </c>
      <c r="I30" s="311"/>
      <c r="J30" s="312"/>
      <c r="K30" s="227" t="s">
        <v>331</v>
      </c>
      <c r="L30" s="227" t="s">
        <v>332</v>
      </c>
      <c r="M30" s="227" t="s">
        <v>333</v>
      </c>
      <c r="N30" s="227" t="s">
        <v>334</v>
      </c>
      <c r="O30" s="227" t="s">
        <v>335</v>
      </c>
      <c r="P30" s="227"/>
      <c r="Q30" s="227" t="s">
        <v>336</v>
      </c>
      <c r="R30" s="227" t="s">
        <v>337</v>
      </c>
      <c r="S30" s="227" t="s">
        <v>338</v>
      </c>
      <c r="T30" s="227" t="s">
        <v>339</v>
      </c>
      <c r="U30" s="227" t="s">
        <v>340</v>
      </c>
      <c r="V30" s="227" t="s">
        <v>341</v>
      </c>
      <c r="W30" s="227" t="s">
        <v>341</v>
      </c>
      <c r="X30" s="227" t="s">
        <v>341</v>
      </c>
      <c r="Y30" s="227" t="s">
        <v>122</v>
      </c>
      <c r="Z30" s="227" t="s">
        <v>342</v>
      </c>
      <c r="AA30" s="227" t="s">
        <v>343</v>
      </c>
      <c r="AB30" s="227" t="s">
        <v>344</v>
      </c>
      <c r="AC30" s="227" t="s">
        <v>255</v>
      </c>
      <c r="AD30" s="227" t="s">
        <v>304</v>
      </c>
      <c r="AE30" s="227" t="s">
        <v>345</v>
      </c>
      <c r="AF30" s="227" t="s">
        <v>346</v>
      </c>
      <c r="AG30" s="227" t="s">
        <v>347</v>
      </c>
      <c r="AH30" s="227" t="s">
        <v>348</v>
      </c>
      <c r="AI30" s="227" t="s">
        <v>349</v>
      </c>
      <c r="AJ30" s="240" t="s">
        <v>350</v>
      </c>
      <c r="AK30" s="59" t="s">
        <v>114</v>
      </c>
      <c r="AL30" s="215" t="s">
        <v>351</v>
      </c>
      <c r="AM30" s="227" t="s">
        <v>261</v>
      </c>
      <c r="AN30" s="228" t="s">
        <v>352</v>
      </c>
      <c r="AO30" s="228" t="s">
        <v>353</v>
      </c>
      <c r="AP30" s="228" t="s">
        <v>354</v>
      </c>
      <c r="AQ30" s="228" t="s">
        <v>355</v>
      </c>
      <c r="AR30" s="228" t="s">
        <v>356</v>
      </c>
      <c r="AS30" s="228" t="s">
        <v>265</v>
      </c>
      <c r="AT30" s="228" t="s">
        <v>315</v>
      </c>
      <c r="AU30" s="228" t="s">
        <v>357</v>
      </c>
      <c r="AV30" s="228" t="s">
        <v>358</v>
      </c>
      <c r="AW30" s="228" t="s">
        <v>359</v>
      </c>
      <c r="AX30" s="228" t="s">
        <v>360</v>
      </c>
      <c r="AY30" s="228" t="s">
        <v>361</v>
      </c>
      <c r="AZ30" s="228" t="s">
        <v>362</v>
      </c>
      <c r="BA30" s="228" t="s">
        <v>363</v>
      </c>
      <c r="BB30" s="228" t="s">
        <v>455</v>
      </c>
    </row>
    <row r="31" spans="1:54" x14ac:dyDescent="0.25">
      <c r="A31" s="241" t="s">
        <v>11</v>
      </c>
      <c r="B31" s="241" t="s">
        <v>13</v>
      </c>
      <c r="C31" s="241" t="s">
        <v>16</v>
      </c>
      <c r="D31" s="241" t="s">
        <v>212</v>
      </c>
      <c r="E31" s="241" t="s">
        <v>213</v>
      </c>
      <c r="F31" s="241" t="s">
        <v>214</v>
      </c>
      <c r="G31" s="241" t="s">
        <v>220</v>
      </c>
      <c r="H31" s="307" t="s">
        <v>364</v>
      </c>
      <c r="I31" s="308"/>
      <c r="J31" s="309"/>
      <c r="K31" s="231" t="s">
        <v>31</v>
      </c>
      <c r="L31" s="231" t="s">
        <v>251</v>
      </c>
      <c r="M31" s="241" t="s">
        <v>365</v>
      </c>
      <c r="N31" s="229"/>
      <c r="O31" s="241" t="s">
        <v>262</v>
      </c>
      <c r="P31" s="241"/>
      <c r="Q31" s="230" t="s">
        <v>366</v>
      </c>
      <c r="R31" s="230"/>
      <c r="S31" s="230"/>
      <c r="T31" s="217" t="s">
        <v>367</v>
      </c>
      <c r="U31" s="230"/>
      <c r="V31" s="241" t="s">
        <v>264</v>
      </c>
      <c r="W31" s="236" t="s">
        <v>429</v>
      </c>
      <c r="X31" s="236" t="s">
        <v>430</v>
      </c>
      <c r="Y31" s="231" t="s">
        <v>267</v>
      </c>
      <c r="Z31" s="231" t="s">
        <v>431</v>
      </c>
      <c r="AA31" s="236" t="s">
        <v>368</v>
      </c>
      <c r="AB31" s="236" t="s">
        <v>369</v>
      </c>
      <c r="AC31" s="236" t="s">
        <v>370</v>
      </c>
      <c r="AD31" s="236" t="s">
        <v>432</v>
      </c>
      <c r="AE31" s="230"/>
      <c r="AF31" s="231" t="s">
        <v>371</v>
      </c>
      <c r="AG31" s="237"/>
      <c r="AH31" s="230"/>
      <c r="AI31" s="231" t="s">
        <v>372</v>
      </c>
      <c r="AJ31" s="231" t="s">
        <v>373</v>
      </c>
      <c r="AK31" s="230"/>
      <c r="AL31" s="230"/>
      <c r="AM31" s="241" t="s">
        <v>374</v>
      </c>
      <c r="AN31" s="231" t="s">
        <v>375</v>
      </c>
      <c r="AO31" s="242" t="s">
        <v>376</v>
      </c>
      <c r="AP31" s="231" t="s">
        <v>377</v>
      </c>
      <c r="AQ31" s="230"/>
      <c r="AR31" s="230" t="s">
        <v>378</v>
      </c>
      <c r="AS31" s="266" t="s">
        <v>379</v>
      </c>
      <c r="AT31" s="266" t="s">
        <v>433</v>
      </c>
      <c r="AU31" s="230"/>
      <c r="AV31" s="230" t="s">
        <v>380</v>
      </c>
      <c r="AW31" s="230"/>
      <c r="AX31" s="230" t="s">
        <v>381</v>
      </c>
      <c r="AY31" s="230"/>
      <c r="AZ31" s="230" t="s">
        <v>382</v>
      </c>
      <c r="BA31" s="230" t="s">
        <v>383</v>
      </c>
      <c r="BB31" s="230" t="s">
        <v>454</v>
      </c>
    </row>
    <row r="32" spans="1:54" ht="45" customHeight="1" x14ac:dyDescent="0.25">
      <c r="A32" s="310" t="s">
        <v>416</v>
      </c>
      <c r="B32" s="311"/>
      <c r="C32" s="312"/>
      <c r="D32" s="229"/>
      <c r="E32" s="243" t="s">
        <v>384</v>
      </c>
      <c r="F32" s="229"/>
      <c r="G32" s="229"/>
      <c r="H32" s="229" t="s">
        <v>385</v>
      </c>
      <c r="I32" s="229" t="s">
        <v>88</v>
      </c>
      <c r="J32" s="229" t="s">
        <v>14</v>
      </c>
      <c r="K32" s="244" t="s">
        <v>425</v>
      </c>
      <c r="L32" s="244" t="s">
        <v>425</v>
      </c>
      <c r="M32" s="229" t="s">
        <v>386</v>
      </c>
      <c r="N32" s="243" t="s">
        <v>387</v>
      </c>
      <c r="O32" s="229"/>
      <c r="P32" s="232"/>
      <c r="Q32" s="245"/>
      <c r="S32" s="243" t="s">
        <v>389</v>
      </c>
      <c r="T32" s="245" t="s">
        <v>388</v>
      </c>
      <c r="U32" s="245"/>
      <c r="V32" s="238" t="s">
        <v>390</v>
      </c>
      <c r="W32" s="238" t="s">
        <v>391</v>
      </c>
      <c r="X32" s="238" t="s">
        <v>392</v>
      </c>
      <c r="Y32" s="243"/>
      <c r="Z32" s="243"/>
      <c r="AA32" s="243" t="s">
        <v>384</v>
      </c>
      <c r="AB32" s="238"/>
      <c r="AC32" s="243" t="s">
        <v>384</v>
      </c>
      <c r="AD32" s="238"/>
      <c r="AE32" s="229"/>
      <c r="AF32" s="229"/>
      <c r="AG32" s="229"/>
      <c r="AH32" s="229"/>
      <c r="AI32" s="229"/>
      <c r="AJ32" s="229"/>
      <c r="AK32" s="229"/>
      <c r="AL32" s="229"/>
      <c r="AM32" s="229"/>
      <c r="AN32" s="243" t="s">
        <v>393</v>
      </c>
      <c r="AO32" s="230"/>
      <c r="AP32" s="230"/>
      <c r="AQ32" s="243"/>
      <c r="AR32" s="245"/>
      <c r="AS32" s="230"/>
      <c r="AT32" s="230" t="s">
        <v>394</v>
      </c>
      <c r="AU32" s="230"/>
      <c r="AV32" s="230"/>
      <c r="AW32" s="230"/>
      <c r="AX32" s="51"/>
      <c r="AY32" s="243"/>
      <c r="AZ32" s="245"/>
      <c r="BA32" s="246">
        <v>0.03</v>
      </c>
      <c r="BB32" s="246">
        <v>0</v>
      </c>
    </row>
    <row r="33" spans="1:57" ht="13.2" customHeight="1" x14ac:dyDescent="0.25">
      <c r="A33" s="51">
        <v>1</v>
      </c>
      <c r="B33" s="214" t="str">
        <f>B4</f>
        <v>Девятый</v>
      </c>
      <c r="C33" s="214">
        <f>C4</f>
        <v>0</v>
      </c>
      <c r="D33" s="214"/>
      <c r="E33" s="51" t="s">
        <v>395</v>
      </c>
      <c r="F33" s="214"/>
      <c r="G33" s="214"/>
      <c r="H33" s="51"/>
      <c r="I33" s="214"/>
      <c r="J33" s="214"/>
      <c r="K33" s="214"/>
      <c r="L33" s="214"/>
      <c r="M33" s="247">
        <v>0.1</v>
      </c>
      <c r="N33" s="248">
        <v>1</v>
      </c>
      <c r="O33" s="258">
        <f>SUMIF(B$4:B$17,B33,O$4:O$17)</f>
        <v>0</v>
      </c>
      <c r="P33" s="258"/>
      <c r="Q33" s="258">
        <f>SUMIF(B$4:B$17,B33,Q$4:Q$17)</f>
        <v>12750000</v>
      </c>
      <c r="R33" s="216">
        <f t="shared" ref="R33:R44" si="11">IF(O33&lt;Q33,O33,Q33)</f>
        <v>0</v>
      </c>
      <c r="S33" s="216">
        <v>1</v>
      </c>
      <c r="T33" s="258">
        <f>SUMIF(B$4:B$17,B33,T$4:T$17)</f>
        <v>2550000</v>
      </c>
      <c r="U33" s="258">
        <f>SUMIF(B$4:B$17,B33,U$4:U$17)</f>
        <v>0</v>
      </c>
      <c r="V33" s="258">
        <f>SUMIF(B$4:B$17,B33,V$4:V$17)</f>
        <v>0</v>
      </c>
      <c r="W33" s="258">
        <f>SUMIF(B$4:B$17,B33,W$4:W$17)</f>
        <v>0</v>
      </c>
      <c r="X33" s="258">
        <f>SUMIF(B$4:B$17,B33,X$4:X$17)</f>
        <v>0</v>
      </c>
      <c r="Y33" s="258">
        <f>SUMIF(B$4:B$17,B33,Y$4:Y$17)</f>
        <v>0</v>
      </c>
      <c r="Z33" s="258">
        <f>SUMIF(B$4:B$17,B33,Z$4:Z$17)</f>
        <v>0</v>
      </c>
      <c r="AA33" s="216" t="s">
        <v>396</v>
      </c>
      <c r="AB33" s="258">
        <f>SUMIF(B$4:B$17,B33,AB$4:AB$17)</f>
        <v>0</v>
      </c>
      <c r="AC33" s="216" t="s">
        <v>397</v>
      </c>
      <c r="AD33" s="249"/>
      <c r="AE33" s="250">
        <f>SUMIF(B$4:B$17,B33,AE$4:AE$17)</f>
        <v>0</v>
      </c>
      <c r="AF33" s="250">
        <f>SUMIF(B$4:B$17,B33,AF$4:AF$17)</f>
        <v>0</v>
      </c>
      <c r="AG33" s="250">
        <f>SUMIF(B$4:B$7,B33,AG$4:AG$7)</f>
        <v>0</v>
      </c>
      <c r="AH33" s="250">
        <f>O33-Y33-AF33-Z33</f>
        <v>0</v>
      </c>
      <c r="AI33" s="258">
        <f>SUMIF(B$4:B$17,B33,AI$4:AI$17)</f>
        <v>0</v>
      </c>
      <c r="AJ33" s="250">
        <f t="shared" ref="AJ33:AJ38" si="12">AG33+AH33-AI33</f>
        <v>0</v>
      </c>
      <c r="AK33" s="218"/>
      <c r="AL33" s="258">
        <f>SUMIF(B$4:B$7,B33,AL$4:AL$7)</f>
        <v>0</v>
      </c>
      <c r="AM33" s="258">
        <f>SUMIF(B$4:B$17,B33,AM$4:AM$17)</f>
        <v>0</v>
      </c>
      <c r="AN33" s="249"/>
      <c r="AO33" s="250">
        <f t="shared" ref="AO33:AO44" si="13">O33-Y33-AN33-Z33</f>
        <v>0</v>
      </c>
      <c r="AP33" s="251">
        <f t="shared" ref="AP33:AP44" si="14">AO33*9.5%</f>
        <v>0</v>
      </c>
      <c r="AQ33" s="258">
        <f>SUMIF(B$4:B$17,B33,AQ$4:AQ$17)</f>
        <v>0</v>
      </c>
      <c r="AR33" s="258">
        <f>SUMIF(B$4:B$17,B33,AR$4:AR$17)</f>
        <v>0</v>
      </c>
      <c r="AS33" s="250">
        <f t="shared" ref="AS33:AS44" si="15">AR33*3.5%</f>
        <v>0</v>
      </c>
      <c r="AT33" s="258">
        <f>SUMIF(B$4:B$17,B33,AT$4:AT$17)</f>
        <v>0</v>
      </c>
      <c r="AU33" s="249">
        <f>AU4</f>
        <v>0</v>
      </c>
      <c r="AV33" s="258">
        <f>SUMIF(B$4:B$17,B33,AV$4:AV$17)</f>
        <v>0</v>
      </c>
      <c r="AW33" s="258">
        <f>SUMIF(B$4:B$17,B33,AW$4:AW$17)</f>
        <v>0</v>
      </c>
      <c r="AX33" s="258">
        <f>SUMIF(B$4:B$17,B33,AX$4:AX$17)</f>
        <v>0</v>
      </c>
      <c r="AY33" s="258">
        <f>SUMIF(B$4:B$17,B33,AY$4:AY$17)</f>
        <v>0</v>
      </c>
      <c r="AZ33" s="258">
        <f>SUMIF(B$4:B$17,B33,AZ$4:AZ$17)</f>
        <v>0</v>
      </c>
      <c r="BA33" s="258">
        <f>AZ33*3%</f>
        <v>0</v>
      </c>
      <c r="BB33" s="258"/>
      <c r="BC33" s="254"/>
      <c r="BD33" s="254"/>
      <c r="BE33" s="254"/>
    </row>
    <row r="34" spans="1:57" ht="13.2" customHeight="1" x14ac:dyDescent="0.25">
      <c r="A34" s="51">
        <v>2</v>
      </c>
      <c r="B34" s="214">
        <f t="shared" ref="B34:C36" si="16">B5</f>
        <v>0</v>
      </c>
      <c r="C34" s="214">
        <f t="shared" si="16"/>
        <v>0</v>
      </c>
      <c r="D34" s="214"/>
      <c r="E34" s="51" t="s">
        <v>398</v>
      </c>
      <c r="F34" s="214"/>
      <c r="G34" s="214"/>
      <c r="H34" s="51"/>
      <c r="I34" s="214"/>
      <c r="J34" s="214"/>
      <c r="K34" s="214"/>
      <c r="L34" s="214"/>
      <c r="M34" s="247">
        <v>0.1</v>
      </c>
      <c r="N34" s="248">
        <v>1</v>
      </c>
      <c r="O34" s="258">
        <f>SUMIF(B$4:B$17,B34,O$4:O$17)</f>
        <v>0</v>
      </c>
      <c r="P34" s="258"/>
      <c r="Q34" s="258">
        <f>SUMIF(B$4:B$17,B34,Q$4:Q$17)</f>
        <v>0</v>
      </c>
      <c r="R34" s="216">
        <f t="shared" si="11"/>
        <v>0</v>
      </c>
      <c r="S34" s="216"/>
      <c r="T34" s="258">
        <f t="shared" ref="T34:T44" si="17">SUMIF(B$4:B$17,B34,T$4:T$17)</f>
        <v>0</v>
      </c>
      <c r="U34" s="258">
        <f t="shared" ref="U34:U44" si="18">SUMIF(B$4:B$17,B34,U$4:U$17)</f>
        <v>0</v>
      </c>
      <c r="V34" s="258">
        <f t="shared" ref="V34:V44" si="19">SUMIF(B$4:B$17,B34,V$4:V$17)</f>
        <v>0</v>
      </c>
      <c r="W34" s="258">
        <f t="shared" ref="W34:W44" si="20">SUMIF(B$4:B$17,B34,W$4:W$17)</f>
        <v>0</v>
      </c>
      <c r="X34" s="258">
        <f t="shared" ref="X34:X44" si="21">SUMIF(B$4:B$17,B34,X$4:X$17)</f>
        <v>0</v>
      </c>
      <c r="Y34" s="258">
        <f>SUMIF(B$4:B$17,B34,Y$4:Y$17)</f>
        <v>0</v>
      </c>
      <c r="Z34" s="258">
        <f t="shared" ref="Z34:Z44" si="22">SUMIF(B$4:B$17,B34,Z$4:Z$17)</f>
        <v>0</v>
      </c>
      <c r="AA34" s="216"/>
      <c r="AB34" s="258">
        <f t="shared" ref="AB34:AB44" si="23">SUMIF(B$4:B$17,B34,AB$4:AB$17)</f>
        <v>0</v>
      </c>
      <c r="AC34" s="216" t="s">
        <v>399</v>
      </c>
      <c r="AD34" s="249"/>
      <c r="AE34" s="250">
        <f t="shared" ref="AE34:AE44" si="24">SUMIF(B$4:B$17,B34,AE$4:AE$17)</f>
        <v>0</v>
      </c>
      <c r="AF34" s="250">
        <f t="shared" ref="AF34:AF44" si="25">SUMIF(B$4:B$17,B34,AF$4:AF$17)</f>
        <v>0</v>
      </c>
      <c r="AG34" s="250">
        <f t="shared" ref="AG34:AG44" si="26">SUMIF(B$4:B$7,B34,AG$4:AG$7)</f>
        <v>0</v>
      </c>
      <c r="AH34" s="250">
        <f t="shared" ref="AH34:AH44" si="27">O34-Y34-AF34-Z34</f>
        <v>0</v>
      </c>
      <c r="AI34" s="258">
        <f t="shared" ref="AI34:AI44" si="28">SUMIF(B$4:B$17,B34,AI$4:AI$17)</f>
        <v>0</v>
      </c>
      <c r="AJ34" s="250">
        <f t="shared" si="12"/>
        <v>0</v>
      </c>
      <c r="AK34" s="218"/>
      <c r="AL34" s="258">
        <f t="shared" ref="AL34:AL44" si="29">SUMIF(B$4:B$7,B34,AL$4:AL$7)</f>
        <v>0</v>
      </c>
      <c r="AM34" s="258">
        <f t="shared" ref="AM34:AM44" si="30">SUMIF(B$4:B$17,B34,AM$4:AM$17)</f>
        <v>0</v>
      </c>
      <c r="AN34" s="249"/>
      <c r="AO34" s="250">
        <f t="shared" si="13"/>
        <v>0</v>
      </c>
      <c r="AP34" s="251">
        <f t="shared" si="14"/>
        <v>0</v>
      </c>
      <c r="AQ34" s="258">
        <f t="shared" ref="AQ34:AQ43" si="31">SUMIF(B$4:B$17,B34,AQ$4:AQ$17)</f>
        <v>0</v>
      </c>
      <c r="AR34" s="258">
        <f t="shared" ref="AR34:AR44" si="32">SUMIF(B$4:B$17,B34,AR$4:AR$17)</f>
        <v>0</v>
      </c>
      <c r="AS34" s="250">
        <f t="shared" si="15"/>
        <v>0</v>
      </c>
      <c r="AT34" s="258">
        <f t="shared" ref="AT34:AT44" si="33">SUMIF(B$4:B$17,B34,AT$4:AT$17)</f>
        <v>0</v>
      </c>
      <c r="AU34" s="249">
        <f>AU5</f>
        <v>0</v>
      </c>
      <c r="AV34" s="258">
        <f t="shared" ref="AV34:AV44" si="34">SUMIF(B$4:B$17,B34,AV$4:AV$17)</f>
        <v>0</v>
      </c>
      <c r="AW34" s="258">
        <f t="shared" ref="AW34:AW44" si="35">SUMIF(B$4:B$17,B34,AW$4:AW$17)</f>
        <v>0</v>
      </c>
      <c r="AX34" s="258">
        <f t="shared" ref="AX34:AX44" si="36">SUMIF(B$4:B$17,B34,AX$4:AX$17)</f>
        <v>0</v>
      </c>
      <c r="AY34" s="258">
        <f t="shared" ref="AY34:AY44" si="37">SUMIF(B$4:B$17,B34,AY$4:AY$17)</f>
        <v>0</v>
      </c>
      <c r="AZ34" s="258">
        <f t="shared" ref="AZ34:AZ44" si="38">SUMIF(B$4:B$17,B34,AZ$4:AZ$17)</f>
        <v>0</v>
      </c>
      <c r="BA34" s="258">
        <f t="shared" ref="BA34:BA44" si="39">AZ34*3%</f>
        <v>0</v>
      </c>
      <c r="BB34" s="258"/>
      <c r="BC34" s="254"/>
      <c r="BD34" s="254"/>
    </row>
    <row r="35" spans="1:57" ht="13.2" customHeight="1" x14ac:dyDescent="0.25">
      <c r="A35" s="51">
        <v>3</v>
      </c>
      <c r="B35" s="214">
        <f t="shared" si="16"/>
        <v>0</v>
      </c>
      <c r="C35" s="214">
        <f t="shared" si="16"/>
        <v>0</v>
      </c>
      <c r="D35" s="214"/>
      <c r="E35" s="51" t="s">
        <v>395</v>
      </c>
      <c r="F35" s="214"/>
      <c r="G35" s="214"/>
      <c r="H35" s="51"/>
      <c r="I35" s="214"/>
      <c r="J35" s="214"/>
      <c r="K35" s="214"/>
      <c r="L35" s="214"/>
      <c r="M35" s="247">
        <v>0.1</v>
      </c>
      <c r="N35" s="248">
        <v>1</v>
      </c>
      <c r="O35" s="258">
        <f t="shared" ref="O35:O44" si="40">SUMIF(B$4:B$17,B35,O$4:O$17)</f>
        <v>0</v>
      </c>
      <c r="P35" s="258"/>
      <c r="Q35" s="258">
        <f t="shared" ref="Q35:Q44" si="41">SUMIF(B$4:B$17,B35,Q$4:Q$17)</f>
        <v>0</v>
      </c>
      <c r="R35" s="216">
        <f t="shared" si="11"/>
        <v>0</v>
      </c>
      <c r="S35" s="216">
        <v>1</v>
      </c>
      <c r="T35" s="258">
        <f t="shared" si="17"/>
        <v>0</v>
      </c>
      <c r="U35" s="258">
        <f t="shared" si="18"/>
        <v>0</v>
      </c>
      <c r="V35" s="258">
        <f t="shared" si="19"/>
        <v>0</v>
      </c>
      <c r="W35" s="258">
        <f t="shared" si="20"/>
        <v>0</v>
      </c>
      <c r="X35" s="258">
        <f t="shared" si="21"/>
        <v>0</v>
      </c>
      <c r="Y35" s="258">
        <f t="shared" ref="Y35:Y44" si="42">SUMIF(B$4:B$17,B35,Y$4:Y$17)</f>
        <v>0</v>
      </c>
      <c r="Z35" s="258">
        <f t="shared" si="22"/>
        <v>0</v>
      </c>
      <c r="AA35" s="216" t="s">
        <v>396</v>
      </c>
      <c r="AB35" s="258">
        <f t="shared" si="23"/>
        <v>0</v>
      </c>
      <c r="AC35" s="216" t="s">
        <v>400</v>
      </c>
      <c r="AD35" s="249"/>
      <c r="AE35" s="250">
        <f t="shared" si="24"/>
        <v>0</v>
      </c>
      <c r="AF35" s="250">
        <f t="shared" si="25"/>
        <v>0</v>
      </c>
      <c r="AG35" s="250">
        <f t="shared" si="26"/>
        <v>0</v>
      </c>
      <c r="AH35" s="250">
        <f t="shared" si="27"/>
        <v>0</v>
      </c>
      <c r="AI35" s="258">
        <f t="shared" si="28"/>
        <v>0</v>
      </c>
      <c r="AJ35" s="250">
        <f t="shared" si="12"/>
        <v>0</v>
      </c>
      <c r="AK35" s="218"/>
      <c r="AL35" s="258">
        <f t="shared" si="29"/>
        <v>0</v>
      </c>
      <c r="AM35" s="258">
        <f t="shared" si="30"/>
        <v>0</v>
      </c>
      <c r="AN35" s="249"/>
      <c r="AO35" s="250">
        <f t="shared" si="13"/>
        <v>0</v>
      </c>
      <c r="AP35" s="251">
        <f t="shared" si="14"/>
        <v>0</v>
      </c>
      <c r="AQ35" s="258">
        <f t="shared" si="31"/>
        <v>0</v>
      </c>
      <c r="AR35" s="258">
        <f t="shared" si="32"/>
        <v>0</v>
      </c>
      <c r="AS35" s="250">
        <f t="shared" si="15"/>
        <v>0</v>
      </c>
      <c r="AT35" s="258">
        <f t="shared" si="33"/>
        <v>0</v>
      </c>
      <c r="AU35" s="249">
        <f>AU6</f>
        <v>0</v>
      </c>
      <c r="AV35" s="258">
        <f t="shared" si="34"/>
        <v>0</v>
      </c>
      <c r="AW35" s="258">
        <f t="shared" si="35"/>
        <v>0</v>
      </c>
      <c r="AX35" s="258">
        <f t="shared" si="36"/>
        <v>0</v>
      </c>
      <c r="AY35" s="258">
        <f t="shared" si="37"/>
        <v>0</v>
      </c>
      <c r="AZ35" s="258">
        <f t="shared" si="38"/>
        <v>0</v>
      </c>
      <c r="BA35" s="258">
        <f t="shared" si="39"/>
        <v>0</v>
      </c>
      <c r="BB35" s="258"/>
      <c r="BC35" s="254"/>
      <c r="BD35" s="254"/>
      <c r="BE35" s="254"/>
    </row>
    <row r="36" spans="1:57" ht="13.2" customHeight="1" x14ac:dyDescent="0.25">
      <c r="A36" s="51">
        <v>4</v>
      </c>
      <c r="B36" s="214">
        <f t="shared" si="16"/>
        <v>0</v>
      </c>
      <c r="C36" s="214">
        <f t="shared" si="16"/>
        <v>0</v>
      </c>
      <c r="D36" s="214"/>
      <c r="E36" s="51" t="s">
        <v>398</v>
      </c>
      <c r="F36" s="214"/>
      <c r="G36" s="214"/>
      <c r="H36" s="51"/>
      <c r="I36" s="214"/>
      <c r="J36" s="214"/>
      <c r="K36" s="214"/>
      <c r="L36" s="214"/>
      <c r="M36" s="247">
        <v>0.2</v>
      </c>
      <c r="N36" s="248"/>
      <c r="O36" s="258">
        <f t="shared" si="40"/>
        <v>0</v>
      </c>
      <c r="P36" s="258"/>
      <c r="Q36" s="258">
        <f t="shared" si="41"/>
        <v>0</v>
      </c>
      <c r="R36" s="216">
        <f t="shared" si="11"/>
        <v>0</v>
      </c>
      <c r="S36" s="216">
        <v>1</v>
      </c>
      <c r="T36" s="258">
        <f t="shared" si="17"/>
        <v>0</v>
      </c>
      <c r="U36" s="258">
        <f t="shared" si="18"/>
        <v>0</v>
      </c>
      <c r="V36" s="258">
        <f t="shared" si="19"/>
        <v>0</v>
      </c>
      <c r="W36" s="258">
        <f t="shared" si="20"/>
        <v>0</v>
      </c>
      <c r="X36" s="258">
        <f t="shared" si="21"/>
        <v>0</v>
      </c>
      <c r="Y36" s="258">
        <f t="shared" si="42"/>
        <v>0</v>
      </c>
      <c r="Z36" s="258">
        <f t="shared" si="22"/>
        <v>0</v>
      </c>
      <c r="AA36" s="216"/>
      <c r="AB36" s="258">
        <f t="shared" si="23"/>
        <v>0</v>
      </c>
      <c r="AC36" s="216"/>
      <c r="AD36" s="249"/>
      <c r="AE36" s="250">
        <f t="shared" si="24"/>
        <v>0</v>
      </c>
      <c r="AF36" s="250">
        <f t="shared" si="25"/>
        <v>0</v>
      </c>
      <c r="AG36" s="250">
        <f t="shared" si="26"/>
        <v>0</v>
      </c>
      <c r="AH36" s="250">
        <f t="shared" si="27"/>
        <v>0</v>
      </c>
      <c r="AI36" s="258">
        <f t="shared" si="28"/>
        <v>0</v>
      </c>
      <c r="AJ36" s="250">
        <f t="shared" si="12"/>
        <v>0</v>
      </c>
      <c r="AK36" s="218"/>
      <c r="AL36" s="258">
        <f t="shared" si="29"/>
        <v>0</v>
      </c>
      <c r="AM36" s="258">
        <f t="shared" si="30"/>
        <v>0</v>
      </c>
      <c r="AN36" s="249"/>
      <c r="AO36" s="250">
        <f t="shared" si="13"/>
        <v>0</v>
      </c>
      <c r="AP36" s="251">
        <f t="shared" si="14"/>
        <v>0</v>
      </c>
      <c r="AQ36" s="258">
        <f t="shared" si="31"/>
        <v>0</v>
      </c>
      <c r="AR36" s="258">
        <f t="shared" si="32"/>
        <v>0</v>
      </c>
      <c r="AS36" s="250">
        <f t="shared" si="15"/>
        <v>0</v>
      </c>
      <c r="AT36" s="258">
        <f t="shared" si="33"/>
        <v>0</v>
      </c>
      <c r="AU36" s="249">
        <f>AU7</f>
        <v>0</v>
      </c>
      <c r="AV36" s="258">
        <f t="shared" si="34"/>
        <v>0</v>
      </c>
      <c r="AW36" s="258">
        <f t="shared" si="35"/>
        <v>0</v>
      </c>
      <c r="AX36" s="258">
        <f t="shared" si="36"/>
        <v>0</v>
      </c>
      <c r="AY36" s="258">
        <f t="shared" si="37"/>
        <v>0</v>
      </c>
      <c r="AZ36" s="258">
        <f t="shared" si="38"/>
        <v>0</v>
      </c>
      <c r="BA36" s="258">
        <f t="shared" si="39"/>
        <v>0</v>
      </c>
      <c r="BB36" s="258"/>
    </row>
    <row r="37" spans="1:57" ht="13.2" customHeight="1" x14ac:dyDescent="0.25">
      <c r="A37" s="51">
        <v>1</v>
      </c>
      <c r="B37" s="214"/>
      <c r="C37" s="214"/>
      <c r="D37" s="214"/>
      <c r="E37" s="51" t="s">
        <v>398</v>
      </c>
      <c r="F37" s="214"/>
      <c r="G37" s="214"/>
      <c r="H37" s="51"/>
      <c r="I37" s="214"/>
      <c r="J37" s="214"/>
      <c r="K37" s="214"/>
      <c r="L37" s="214"/>
      <c r="M37" s="247"/>
      <c r="N37" s="248"/>
      <c r="O37" s="258">
        <f t="shared" si="40"/>
        <v>0</v>
      </c>
      <c r="P37" s="258"/>
      <c r="Q37" s="258">
        <f t="shared" si="41"/>
        <v>0</v>
      </c>
      <c r="R37" s="216">
        <f t="shared" si="11"/>
        <v>0</v>
      </c>
      <c r="S37" s="216"/>
      <c r="T37" s="258">
        <f t="shared" si="17"/>
        <v>0</v>
      </c>
      <c r="U37" s="258">
        <f t="shared" si="18"/>
        <v>0</v>
      </c>
      <c r="V37" s="258">
        <f t="shared" si="19"/>
        <v>0</v>
      </c>
      <c r="W37" s="258">
        <f t="shared" si="20"/>
        <v>0</v>
      </c>
      <c r="X37" s="258">
        <f t="shared" si="21"/>
        <v>0</v>
      </c>
      <c r="Y37" s="258">
        <f t="shared" si="42"/>
        <v>0</v>
      </c>
      <c r="Z37" s="258">
        <f t="shared" si="22"/>
        <v>0</v>
      </c>
      <c r="AA37" s="216"/>
      <c r="AB37" s="258">
        <f t="shared" si="23"/>
        <v>0</v>
      </c>
      <c r="AC37" s="216"/>
      <c r="AD37" s="249"/>
      <c r="AE37" s="250">
        <f t="shared" si="24"/>
        <v>0</v>
      </c>
      <c r="AF37" s="250">
        <f t="shared" si="25"/>
        <v>0</v>
      </c>
      <c r="AG37" s="250">
        <f t="shared" si="26"/>
        <v>0</v>
      </c>
      <c r="AH37" s="250">
        <f t="shared" si="27"/>
        <v>0</v>
      </c>
      <c r="AI37" s="258">
        <f t="shared" si="28"/>
        <v>0</v>
      </c>
      <c r="AJ37" s="250">
        <f t="shared" si="12"/>
        <v>0</v>
      </c>
      <c r="AK37" s="251"/>
      <c r="AL37" s="258">
        <f t="shared" si="29"/>
        <v>0</v>
      </c>
      <c r="AM37" s="258">
        <f t="shared" si="30"/>
        <v>0</v>
      </c>
      <c r="AN37" s="249"/>
      <c r="AO37" s="250">
        <f t="shared" si="13"/>
        <v>0</v>
      </c>
      <c r="AP37" s="251">
        <f t="shared" si="14"/>
        <v>0</v>
      </c>
      <c r="AQ37" s="258">
        <f t="shared" si="31"/>
        <v>0</v>
      </c>
      <c r="AR37" s="258">
        <f t="shared" si="32"/>
        <v>0</v>
      </c>
      <c r="AS37" s="250">
        <f t="shared" si="15"/>
        <v>0</v>
      </c>
      <c r="AT37" s="258">
        <f>SUMIF(B$4:B$17,B37,AT$4:AT$17)</f>
        <v>0</v>
      </c>
      <c r="AU37" s="249"/>
      <c r="AV37" s="258">
        <f t="shared" si="34"/>
        <v>0</v>
      </c>
      <c r="AW37" s="258">
        <f t="shared" si="35"/>
        <v>0</v>
      </c>
      <c r="AX37" s="258">
        <f t="shared" si="36"/>
        <v>0</v>
      </c>
      <c r="AY37" s="258">
        <f t="shared" si="37"/>
        <v>0</v>
      </c>
      <c r="AZ37" s="258">
        <f t="shared" si="38"/>
        <v>0</v>
      </c>
      <c r="BA37" s="258">
        <f t="shared" si="39"/>
        <v>0</v>
      </c>
      <c r="BB37" s="258"/>
    </row>
    <row r="38" spans="1:57" x14ac:dyDescent="0.25">
      <c r="A38" s="51">
        <v>2</v>
      </c>
      <c r="B38" s="214"/>
      <c r="C38" s="214"/>
      <c r="D38" s="214"/>
      <c r="E38" s="51" t="s">
        <v>398</v>
      </c>
      <c r="F38" s="214"/>
      <c r="G38" s="214"/>
      <c r="H38" s="51"/>
      <c r="I38" s="214"/>
      <c r="J38" s="214"/>
      <c r="K38" s="214"/>
      <c r="L38" s="214"/>
      <c r="M38" s="247"/>
      <c r="N38" s="248"/>
      <c r="O38" s="258">
        <f t="shared" si="40"/>
        <v>0</v>
      </c>
      <c r="P38" s="258"/>
      <c r="Q38" s="258">
        <f t="shared" si="41"/>
        <v>0</v>
      </c>
      <c r="R38" s="216">
        <f t="shared" si="11"/>
        <v>0</v>
      </c>
      <c r="S38" s="216"/>
      <c r="T38" s="258">
        <f t="shared" si="17"/>
        <v>0</v>
      </c>
      <c r="U38" s="258">
        <f t="shared" si="18"/>
        <v>0</v>
      </c>
      <c r="V38" s="258">
        <f t="shared" si="19"/>
        <v>0</v>
      </c>
      <c r="W38" s="258">
        <f t="shared" si="20"/>
        <v>0</v>
      </c>
      <c r="X38" s="258">
        <f t="shared" si="21"/>
        <v>0</v>
      </c>
      <c r="Y38" s="258">
        <f t="shared" si="42"/>
        <v>0</v>
      </c>
      <c r="Z38" s="258">
        <f t="shared" si="22"/>
        <v>0</v>
      </c>
      <c r="AA38" s="216"/>
      <c r="AB38" s="258">
        <f t="shared" si="23"/>
        <v>0</v>
      </c>
      <c r="AC38" s="216"/>
      <c r="AD38" s="249"/>
      <c r="AE38" s="250">
        <f t="shared" si="24"/>
        <v>0</v>
      </c>
      <c r="AF38" s="250">
        <f t="shared" si="25"/>
        <v>0</v>
      </c>
      <c r="AG38" s="250">
        <f t="shared" si="26"/>
        <v>0</v>
      </c>
      <c r="AH38" s="250">
        <f t="shared" si="27"/>
        <v>0</v>
      </c>
      <c r="AI38" s="258">
        <f t="shared" si="28"/>
        <v>0</v>
      </c>
      <c r="AJ38" s="250">
        <f t="shared" si="12"/>
        <v>0</v>
      </c>
      <c r="AK38" s="251"/>
      <c r="AL38" s="258">
        <f t="shared" si="29"/>
        <v>0</v>
      </c>
      <c r="AM38" s="258">
        <f t="shared" si="30"/>
        <v>0</v>
      </c>
      <c r="AN38" s="249"/>
      <c r="AO38" s="250">
        <f t="shared" si="13"/>
        <v>0</v>
      </c>
      <c r="AP38" s="251">
        <f t="shared" si="14"/>
        <v>0</v>
      </c>
      <c r="AQ38" s="258">
        <f t="shared" si="31"/>
        <v>0</v>
      </c>
      <c r="AR38" s="258">
        <f t="shared" si="32"/>
        <v>0</v>
      </c>
      <c r="AS38" s="250">
        <f t="shared" si="15"/>
        <v>0</v>
      </c>
      <c r="AT38" s="258">
        <f t="shared" si="33"/>
        <v>0</v>
      </c>
      <c r="AU38" s="249"/>
      <c r="AV38" s="258">
        <f t="shared" si="34"/>
        <v>0</v>
      </c>
      <c r="AW38" s="258">
        <f t="shared" si="35"/>
        <v>0</v>
      </c>
      <c r="AX38" s="258">
        <f t="shared" si="36"/>
        <v>0</v>
      </c>
      <c r="AY38" s="258">
        <f t="shared" si="37"/>
        <v>0</v>
      </c>
      <c r="AZ38" s="258">
        <f t="shared" si="38"/>
        <v>0</v>
      </c>
      <c r="BA38" s="258">
        <f t="shared" si="39"/>
        <v>0</v>
      </c>
      <c r="BB38" s="258"/>
    </row>
    <row r="39" spans="1:57" x14ac:dyDescent="0.25">
      <c r="A39" s="51">
        <v>3</v>
      </c>
      <c r="B39" s="214"/>
      <c r="C39" s="214"/>
      <c r="D39" s="214"/>
      <c r="E39" s="51" t="s">
        <v>398</v>
      </c>
      <c r="F39" s="214"/>
      <c r="G39" s="214"/>
      <c r="H39" s="51"/>
      <c r="I39" s="214"/>
      <c r="J39" s="214"/>
      <c r="K39" s="214"/>
      <c r="L39" s="214"/>
      <c r="M39" s="247"/>
      <c r="N39" s="248"/>
      <c r="O39" s="258">
        <f t="shared" si="40"/>
        <v>0</v>
      </c>
      <c r="P39" s="258"/>
      <c r="Q39" s="258">
        <f t="shared" si="41"/>
        <v>0</v>
      </c>
      <c r="R39" s="216">
        <f t="shared" si="11"/>
        <v>0</v>
      </c>
      <c r="S39" s="216"/>
      <c r="T39" s="258">
        <f t="shared" si="17"/>
        <v>0</v>
      </c>
      <c r="U39" s="258">
        <f t="shared" si="18"/>
        <v>0</v>
      </c>
      <c r="V39" s="258">
        <f t="shared" si="19"/>
        <v>0</v>
      </c>
      <c r="W39" s="258">
        <f t="shared" si="20"/>
        <v>0</v>
      </c>
      <c r="X39" s="258">
        <f t="shared" si="21"/>
        <v>0</v>
      </c>
      <c r="Y39" s="258">
        <f t="shared" si="42"/>
        <v>0</v>
      </c>
      <c r="Z39" s="258">
        <f t="shared" si="22"/>
        <v>0</v>
      </c>
      <c r="AA39" s="216"/>
      <c r="AB39" s="258">
        <f t="shared" si="23"/>
        <v>0</v>
      </c>
      <c r="AC39" s="216"/>
      <c r="AD39" s="249"/>
      <c r="AE39" s="250">
        <f t="shared" si="24"/>
        <v>0</v>
      </c>
      <c r="AF39" s="250">
        <f t="shared" si="25"/>
        <v>0</v>
      </c>
      <c r="AG39" s="250">
        <f t="shared" si="26"/>
        <v>0</v>
      </c>
      <c r="AH39" s="250">
        <f t="shared" si="27"/>
        <v>0</v>
      </c>
      <c r="AI39" s="258">
        <f t="shared" si="28"/>
        <v>0</v>
      </c>
      <c r="AJ39" s="250">
        <f t="shared" ref="AJ39:AJ44" si="43">AG39+AH39-AI39</f>
        <v>0</v>
      </c>
      <c r="AK39" s="251"/>
      <c r="AL39" s="258">
        <f>SUMIF(B$4:B$7,B39,AL$4:AL$7)</f>
        <v>0</v>
      </c>
      <c r="AM39" s="258">
        <f t="shared" si="30"/>
        <v>0</v>
      </c>
      <c r="AN39" s="249"/>
      <c r="AO39" s="250">
        <f t="shared" si="13"/>
        <v>0</v>
      </c>
      <c r="AP39" s="251">
        <f t="shared" si="14"/>
        <v>0</v>
      </c>
      <c r="AQ39" s="258">
        <f t="shared" si="31"/>
        <v>0</v>
      </c>
      <c r="AR39" s="258">
        <f t="shared" si="32"/>
        <v>0</v>
      </c>
      <c r="AS39" s="250">
        <f t="shared" si="15"/>
        <v>0</v>
      </c>
      <c r="AT39" s="258">
        <f t="shared" si="33"/>
        <v>0</v>
      </c>
      <c r="AU39" s="249"/>
      <c r="AV39" s="258">
        <f t="shared" si="34"/>
        <v>0</v>
      </c>
      <c r="AW39" s="258">
        <f t="shared" si="35"/>
        <v>0</v>
      </c>
      <c r="AX39" s="258">
        <f t="shared" si="36"/>
        <v>0</v>
      </c>
      <c r="AY39" s="258">
        <f t="shared" si="37"/>
        <v>0</v>
      </c>
      <c r="AZ39" s="258">
        <f t="shared" si="38"/>
        <v>0</v>
      </c>
      <c r="BA39" s="258">
        <f t="shared" si="39"/>
        <v>0</v>
      </c>
      <c r="BB39" s="258"/>
    </row>
    <row r="40" spans="1:57" x14ac:dyDescent="0.25">
      <c r="A40" s="51">
        <v>4</v>
      </c>
      <c r="B40" s="214"/>
      <c r="C40" s="214"/>
      <c r="D40" s="214"/>
      <c r="E40" s="51" t="s">
        <v>398</v>
      </c>
      <c r="F40" s="214"/>
      <c r="G40" s="214"/>
      <c r="H40" s="51"/>
      <c r="I40" s="214"/>
      <c r="J40" s="214"/>
      <c r="K40" s="214"/>
      <c r="L40" s="214"/>
      <c r="M40" s="247"/>
      <c r="N40" s="248"/>
      <c r="O40" s="258">
        <f t="shared" si="40"/>
        <v>0</v>
      </c>
      <c r="P40" s="258"/>
      <c r="Q40" s="258">
        <f t="shared" si="41"/>
        <v>0</v>
      </c>
      <c r="R40" s="216">
        <f t="shared" si="11"/>
        <v>0</v>
      </c>
      <c r="S40" s="216"/>
      <c r="T40" s="258">
        <f t="shared" si="17"/>
        <v>0</v>
      </c>
      <c r="U40" s="258">
        <f t="shared" si="18"/>
        <v>0</v>
      </c>
      <c r="V40" s="258">
        <f t="shared" si="19"/>
        <v>0</v>
      </c>
      <c r="W40" s="258">
        <f t="shared" si="20"/>
        <v>0</v>
      </c>
      <c r="X40" s="258">
        <f t="shared" si="21"/>
        <v>0</v>
      </c>
      <c r="Y40" s="258">
        <f t="shared" si="42"/>
        <v>0</v>
      </c>
      <c r="Z40" s="258">
        <f t="shared" si="22"/>
        <v>0</v>
      </c>
      <c r="AA40" s="216"/>
      <c r="AB40" s="258">
        <f t="shared" si="23"/>
        <v>0</v>
      </c>
      <c r="AC40" s="216"/>
      <c r="AD40" s="249"/>
      <c r="AE40" s="250">
        <f t="shared" si="24"/>
        <v>0</v>
      </c>
      <c r="AF40" s="250">
        <f t="shared" si="25"/>
        <v>0</v>
      </c>
      <c r="AG40" s="250">
        <f t="shared" si="26"/>
        <v>0</v>
      </c>
      <c r="AH40" s="250">
        <f t="shared" si="27"/>
        <v>0</v>
      </c>
      <c r="AI40" s="258">
        <f t="shared" si="28"/>
        <v>0</v>
      </c>
      <c r="AJ40" s="250">
        <f t="shared" si="43"/>
        <v>0</v>
      </c>
      <c r="AK40" s="251"/>
      <c r="AL40" s="258">
        <f t="shared" si="29"/>
        <v>0</v>
      </c>
      <c r="AM40" s="258">
        <f t="shared" si="30"/>
        <v>0</v>
      </c>
      <c r="AN40" s="249"/>
      <c r="AO40" s="250">
        <f t="shared" si="13"/>
        <v>0</v>
      </c>
      <c r="AP40" s="251">
        <f t="shared" si="14"/>
        <v>0</v>
      </c>
      <c r="AQ40" s="258">
        <f t="shared" si="31"/>
        <v>0</v>
      </c>
      <c r="AR40" s="258">
        <f t="shared" si="32"/>
        <v>0</v>
      </c>
      <c r="AS40" s="250">
        <f t="shared" si="15"/>
        <v>0</v>
      </c>
      <c r="AT40" s="258">
        <f t="shared" si="33"/>
        <v>0</v>
      </c>
      <c r="AU40" s="249"/>
      <c r="AV40" s="258">
        <f t="shared" si="34"/>
        <v>0</v>
      </c>
      <c r="AW40" s="258">
        <f t="shared" si="35"/>
        <v>0</v>
      </c>
      <c r="AX40" s="258">
        <f t="shared" si="36"/>
        <v>0</v>
      </c>
      <c r="AY40" s="258">
        <f t="shared" si="37"/>
        <v>0</v>
      </c>
      <c r="AZ40" s="258">
        <f t="shared" si="38"/>
        <v>0</v>
      </c>
      <c r="BA40" s="258">
        <f t="shared" si="39"/>
        <v>0</v>
      </c>
      <c r="BB40" s="258"/>
    </row>
    <row r="41" spans="1:57" x14ac:dyDescent="0.25">
      <c r="A41" s="51">
        <v>10</v>
      </c>
      <c r="B41" s="214"/>
      <c r="C41" s="214"/>
      <c r="D41" s="214"/>
      <c r="E41" s="51" t="s">
        <v>398</v>
      </c>
      <c r="F41" s="214"/>
      <c r="G41" s="214"/>
      <c r="H41" s="51"/>
      <c r="I41" s="214"/>
      <c r="J41" s="214"/>
      <c r="K41" s="214"/>
      <c r="L41" s="214"/>
      <c r="M41" s="247"/>
      <c r="N41" s="248"/>
      <c r="O41" s="258">
        <f t="shared" si="40"/>
        <v>0</v>
      </c>
      <c r="P41" s="258"/>
      <c r="Q41" s="258">
        <f t="shared" si="41"/>
        <v>0</v>
      </c>
      <c r="R41" s="216">
        <f t="shared" si="11"/>
        <v>0</v>
      </c>
      <c r="S41" s="216"/>
      <c r="T41" s="258">
        <f t="shared" si="17"/>
        <v>0</v>
      </c>
      <c r="U41" s="258">
        <f t="shared" si="18"/>
        <v>0</v>
      </c>
      <c r="V41" s="258">
        <f t="shared" si="19"/>
        <v>0</v>
      </c>
      <c r="W41" s="258">
        <f t="shared" si="20"/>
        <v>0</v>
      </c>
      <c r="X41" s="258">
        <f t="shared" si="21"/>
        <v>0</v>
      </c>
      <c r="Y41" s="258">
        <f t="shared" si="42"/>
        <v>0</v>
      </c>
      <c r="Z41" s="258">
        <f t="shared" si="22"/>
        <v>0</v>
      </c>
      <c r="AA41" s="216"/>
      <c r="AB41" s="258">
        <f t="shared" si="23"/>
        <v>0</v>
      </c>
      <c r="AC41" s="216"/>
      <c r="AD41" s="249"/>
      <c r="AE41" s="250">
        <f t="shared" si="24"/>
        <v>0</v>
      </c>
      <c r="AF41" s="250">
        <f t="shared" si="25"/>
        <v>0</v>
      </c>
      <c r="AG41" s="250">
        <f t="shared" si="26"/>
        <v>0</v>
      </c>
      <c r="AH41" s="250">
        <f t="shared" si="27"/>
        <v>0</v>
      </c>
      <c r="AI41" s="258">
        <f t="shared" si="28"/>
        <v>0</v>
      </c>
      <c r="AJ41" s="250">
        <f t="shared" si="43"/>
        <v>0</v>
      </c>
      <c r="AK41" s="251"/>
      <c r="AL41" s="258">
        <f t="shared" si="29"/>
        <v>0</v>
      </c>
      <c r="AM41" s="258">
        <f t="shared" si="30"/>
        <v>0</v>
      </c>
      <c r="AN41" s="249"/>
      <c r="AO41" s="250">
        <f t="shared" si="13"/>
        <v>0</v>
      </c>
      <c r="AP41" s="251">
        <f t="shared" si="14"/>
        <v>0</v>
      </c>
      <c r="AQ41" s="258">
        <f t="shared" si="31"/>
        <v>0</v>
      </c>
      <c r="AR41" s="258">
        <f t="shared" si="32"/>
        <v>0</v>
      </c>
      <c r="AS41" s="250">
        <f t="shared" si="15"/>
        <v>0</v>
      </c>
      <c r="AT41" s="258">
        <f t="shared" si="33"/>
        <v>0</v>
      </c>
      <c r="AU41" s="249"/>
      <c r="AV41" s="258">
        <f t="shared" si="34"/>
        <v>0</v>
      </c>
      <c r="AW41" s="258">
        <f t="shared" si="35"/>
        <v>0</v>
      </c>
      <c r="AX41" s="258">
        <f t="shared" si="36"/>
        <v>0</v>
      </c>
      <c r="AY41" s="258">
        <f t="shared" si="37"/>
        <v>0</v>
      </c>
      <c r="AZ41" s="258">
        <f t="shared" si="38"/>
        <v>0</v>
      </c>
      <c r="BA41" s="258">
        <f t="shared" si="39"/>
        <v>0</v>
      </c>
      <c r="BB41" s="258"/>
    </row>
    <row r="42" spans="1:57" x14ac:dyDescent="0.25">
      <c r="A42" s="51">
        <v>11</v>
      </c>
      <c r="B42" s="214"/>
      <c r="C42" s="214"/>
      <c r="D42" s="214"/>
      <c r="E42" s="51" t="s">
        <v>398</v>
      </c>
      <c r="F42" s="214"/>
      <c r="G42" s="214"/>
      <c r="H42" s="51"/>
      <c r="I42" s="214"/>
      <c r="J42" s="214"/>
      <c r="K42" s="214"/>
      <c r="L42" s="214"/>
      <c r="M42" s="247"/>
      <c r="N42" s="248"/>
      <c r="O42" s="258">
        <f t="shared" si="40"/>
        <v>0</v>
      </c>
      <c r="P42" s="258"/>
      <c r="Q42" s="258">
        <f t="shared" si="41"/>
        <v>0</v>
      </c>
      <c r="R42" s="216">
        <f t="shared" si="11"/>
        <v>0</v>
      </c>
      <c r="S42" s="216"/>
      <c r="T42" s="258">
        <f t="shared" si="17"/>
        <v>0</v>
      </c>
      <c r="U42" s="258">
        <f t="shared" si="18"/>
        <v>0</v>
      </c>
      <c r="V42" s="258">
        <f t="shared" si="19"/>
        <v>0</v>
      </c>
      <c r="W42" s="258">
        <f t="shared" si="20"/>
        <v>0</v>
      </c>
      <c r="X42" s="258">
        <f t="shared" si="21"/>
        <v>0</v>
      </c>
      <c r="Y42" s="258">
        <f t="shared" si="42"/>
        <v>0</v>
      </c>
      <c r="Z42" s="258">
        <f t="shared" si="22"/>
        <v>0</v>
      </c>
      <c r="AA42" s="216"/>
      <c r="AB42" s="258">
        <f t="shared" si="23"/>
        <v>0</v>
      </c>
      <c r="AC42" s="216"/>
      <c r="AD42" s="249"/>
      <c r="AE42" s="250">
        <f t="shared" si="24"/>
        <v>0</v>
      </c>
      <c r="AF42" s="250">
        <f t="shared" si="25"/>
        <v>0</v>
      </c>
      <c r="AG42" s="250">
        <f t="shared" si="26"/>
        <v>0</v>
      </c>
      <c r="AH42" s="250">
        <f t="shared" si="27"/>
        <v>0</v>
      </c>
      <c r="AI42" s="258">
        <f t="shared" si="28"/>
        <v>0</v>
      </c>
      <c r="AJ42" s="250">
        <f t="shared" si="43"/>
        <v>0</v>
      </c>
      <c r="AK42" s="251"/>
      <c r="AL42" s="258">
        <f t="shared" si="29"/>
        <v>0</v>
      </c>
      <c r="AM42" s="258">
        <f t="shared" si="30"/>
        <v>0</v>
      </c>
      <c r="AN42" s="249"/>
      <c r="AO42" s="250">
        <f t="shared" si="13"/>
        <v>0</v>
      </c>
      <c r="AP42" s="251">
        <f t="shared" si="14"/>
        <v>0</v>
      </c>
      <c r="AQ42" s="258">
        <f t="shared" si="31"/>
        <v>0</v>
      </c>
      <c r="AR42" s="258">
        <f t="shared" si="32"/>
        <v>0</v>
      </c>
      <c r="AS42" s="250">
        <f t="shared" si="15"/>
        <v>0</v>
      </c>
      <c r="AT42" s="258">
        <f t="shared" si="33"/>
        <v>0</v>
      </c>
      <c r="AU42" s="249"/>
      <c r="AV42" s="258">
        <f t="shared" si="34"/>
        <v>0</v>
      </c>
      <c r="AW42" s="258">
        <f t="shared" si="35"/>
        <v>0</v>
      </c>
      <c r="AX42" s="258">
        <f t="shared" si="36"/>
        <v>0</v>
      </c>
      <c r="AY42" s="258">
        <f t="shared" si="37"/>
        <v>0</v>
      </c>
      <c r="AZ42" s="258">
        <f t="shared" si="38"/>
        <v>0</v>
      </c>
      <c r="BA42" s="258">
        <f t="shared" si="39"/>
        <v>0</v>
      </c>
      <c r="BB42" s="258"/>
    </row>
    <row r="43" spans="1:57" x14ac:dyDescent="0.25">
      <c r="A43" s="51">
        <v>12</v>
      </c>
      <c r="B43" s="214"/>
      <c r="C43" s="214"/>
      <c r="D43" s="214"/>
      <c r="E43" s="51" t="s">
        <v>398</v>
      </c>
      <c r="F43" s="214"/>
      <c r="G43" s="214"/>
      <c r="H43" s="51"/>
      <c r="I43" s="214"/>
      <c r="J43" s="214"/>
      <c r="K43" s="214"/>
      <c r="L43" s="214"/>
      <c r="M43" s="247"/>
      <c r="N43" s="248"/>
      <c r="O43" s="258">
        <f t="shared" si="40"/>
        <v>0</v>
      </c>
      <c r="P43" s="258"/>
      <c r="Q43" s="258">
        <f t="shared" si="41"/>
        <v>0</v>
      </c>
      <c r="R43" s="216">
        <f t="shared" si="11"/>
        <v>0</v>
      </c>
      <c r="S43" s="216"/>
      <c r="T43" s="258">
        <f t="shared" si="17"/>
        <v>0</v>
      </c>
      <c r="U43" s="258">
        <f t="shared" si="18"/>
        <v>0</v>
      </c>
      <c r="V43" s="258">
        <f t="shared" si="19"/>
        <v>0</v>
      </c>
      <c r="W43" s="258">
        <f t="shared" si="20"/>
        <v>0</v>
      </c>
      <c r="X43" s="258">
        <f t="shared" si="21"/>
        <v>0</v>
      </c>
      <c r="Y43" s="258">
        <f t="shared" si="42"/>
        <v>0</v>
      </c>
      <c r="Z43" s="258">
        <f t="shared" si="22"/>
        <v>0</v>
      </c>
      <c r="AA43" s="216"/>
      <c r="AB43" s="258">
        <f>SUMIF(B$4:B$17,B43,AB$4:AB$17)</f>
        <v>0</v>
      </c>
      <c r="AC43" s="216"/>
      <c r="AD43" s="249"/>
      <c r="AE43" s="250">
        <f t="shared" si="24"/>
        <v>0</v>
      </c>
      <c r="AF43" s="250">
        <f t="shared" si="25"/>
        <v>0</v>
      </c>
      <c r="AG43" s="250">
        <f t="shared" si="26"/>
        <v>0</v>
      </c>
      <c r="AH43" s="250">
        <f t="shared" si="27"/>
        <v>0</v>
      </c>
      <c r="AI43" s="258">
        <f t="shared" si="28"/>
        <v>0</v>
      </c>
      <c r="AJ43" s="250">
        <f t="shared" si="43"/>
        <v>0</v>
      </c>
      <c r="AK43" s="251"/>
      <c r="AL43" s="258">
        <f t="shared" si="29"/>
        <v>0</v>
      </c>
      <c r="AM43" s="258">
        <f t="shared" si="30"/>
        <v>0</v>
      </c>
      <c r="AN43" s="249"/>
      <c r="AO43" s="250">
        <f t="shared" si="13"/>
        <v>0</v>
      </c>
      <c r="AP43" s="251">
        <f t="shared" si="14"/>
        <v>0</v>
      </c>
      <c r="AQ43" s="258">
        <f t="shared" si="31"/>
        <v>0</v>
      </c>
      <c r="AR43" s="258">
        <f t="shared" si="32"/>
        <v>0</v>
      </c>
      <c r="AS43" s="250">
        <f t="shared" si="15"/>
        <v>0</v>
      </c>
      <c r="AT43" s="258">
        <f t="shared" si="33"/>
        <v>0</v>
      </c>
      <c r="AU43" s="249"/>
      <c r="AV43" s="258">
        <f t="shared" si="34"/>
        <v>0</v>
      </c>
      <c r="AW43" s="258">
        <f t="shared" si="35"/>
        <v>0</v>
      </c>
      <c r="AX43" s="258">
        <f t="shared" si="36"/>
        <v>0</v>
      </c>
      <c r="AY43" s="258">
        <f t="shared" si="37"/>
        <v>0</v>
      </c>
      <c r="AZ43" s="258">
        <f t="shared" si="38"/>
        <v>0</v>
      </c>
      <c r="BA43" s="258">
        <f t="shared" si="39"/>
        <v>0</v>
      </c>
      <c r="BB43" s="258"/>
    </row>
    <row r="44" spans="1:57" x14ac:dyDescent="0.25">
      <c r="A44" s="51">
        <v>13</v>
      </c>
      <c r="B44" s="214"/>
      <c r="C44" s="214"/>
      <c r="D44" s="214"/>
      <c r="E44" s="51" t="s">
        <v>398</v>
      </c>
      <c r="F44" s="214"/>
      <c r="G44" s="214"/>
      <c r="H44" s="51"/>
      <c r="I44" s="214"/>
      <c r="J44" s="214"/>
      <c r="K44" s="214"/>
      <c r="L44" s="214"/>
      <c r="M44" s="247"/>
      <c r="N44" s="248"/>
      <c r="O44" s="258">
        <f t="shared" si="40"/>
        <v>0</v>
      </c>
      <c r="P44" s="258"/>
      <c r="Q44" s="258">
        <f t="shared" si="41"/>
        <v>0</v>
      </c>
      <c r="R44" s="216">
        <f t="shared" si="11"/>
        <v>0</v>
      </c>
      <c r="S44" s="216"/>
      <c r="T44" s="258">
        <f t="shared" si="17"/>
        <v>0</v>
      </c>
      <c r="U44" s="258">
        <f t="shared" si="18"/>
        <v>0</v>
      </c>
      <c r="V44" s="258">
        <f t="shared" si="19"/>
        <v>0</v>
      </c>
      <c r="W44" s="258">
        <f t="shared" si="20"/>
        <v>0</v>
      </c>
      <c r="X44" s="258">
        <f t="shared" si="21"/>
        <v>0</v>
      </c>
      <c r="Y44" s="258">
        <f t="shared" si="42"/>
        <v>0</v>
      </c>
      <c r="Z44" s="258">
        <f t="shared" si="22"/>
        <v>0</v>
      </c>
      <c r="AA44" s="216"/>
      <c r="AB44" s="258">
        <f t="shared" si="23"/>
        <v>0</v>
      </c>
      <c r="AC44" s="216"/>
      <c r="AD44" s="249"/>
      <c r="AE44" s="250">
        <f t="shared" si="24"/>
        <v>0</v>
      </c>
      <c r="AF44" s="250">
        <f t="shared" si="25"/>
        <v>0</v>
      </c>
      <c r="AG44" s="250">
        <f t="shared" si="26"/>
        <v>0</v>
      </c>
      <c r="AH44" s="250">
        <f t="shared" si="27"/>
        <v>0</v>
      </c>
      <c r="AI44" s="258">
        <f t="shared" si="28"/>
        <v>0</v>
      </c>
      <c r="AJ44" s="250">
        <f t="shared" si="43"/>
        <v>0</v>
      </c>
      <c r="AK44" s="251"/>
      <c r="AL44" s="258">
        <f t="shared" si="29"/>
        <v>0</v>
      </c>
      <c r="AM44" s="258">
        <f t="shared" si="30"/>
        <v>0</v>
      </c>
      <c r="AN44" s="249"/>
      <c r="AO44" s="250">
        <f t="shared" si="13"/>
        <v>0</v>
      </c>
      <c r="AP44" s="251">
        <f t="shared" si="14"/>
        <v>0</v>
      </c>
      <c r="AQ44" s="258">
        <f>SUMIF(B$4:B$17,B44,AQ$4:AQ$17)</f>
        <v>0</v>
      </c>
      <c r="AR44" s="258">
        <f t="shared" si="32"/>
        <v>0</v>
      </c>
      <c r="AS44" s="250">
        <f t="shared" si="15"/>
        <v>0</v>
      </c>
      <c r="AT44" s="258">
        <f t="shared" si="33"/>
        <v>0</v>
      </c>
      <c r="AU44" s="249"/>
      <c r="AV44" s="258">
        <f t="shared" si="34"/>
        <v>0</v>
      </c>
      <c r="AW44" s="258">
        <f t="shared" si="35"/>
        <v>0</v>
      </c>
      <c r="AX44" s="258">
        <f t="shared" si="36"/>
        <v>0</v>
      </c>
      <c r="AY44" s="258">
        <f t="shared" si="37"/>
        <v>0</v>
      </c>
      <c r="AZ44" s="258">
        <f t="shared" si="38"/>
        <v>0</v>
      </c>
      <c r="BA44" s="258">
        <f t="shared" si="39"/>
        <v>0</v>
      </c>
      <c r="BB44" s="258"/>
    </row>
    <row r="45" spans="1:57" x14ac:dyDescent="0.25">
      <c r="A45" s="51"/>
      <c r="B45" s="229" t="s">
        <v>401</v>
      </c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55">
        <f>SUM(O33:O44)</f>
        <v>0</v>
      </c>
      <c r="P45" s="255"/>
      <c r="Q45" s="255">
        <f t="shared" ref="Q45:BA45" si="44">SUM(Q33:Q44)</f>
        <v>12750000</v>
      </c>
      <c r="R45" s="255">
        <f t="shared" si="44"/>
        <v>0</v>
      </c>
      <c r="S45" s="255"/>
      <c r="T45" s="255">
        <f t="shared" si="44"/>
        <v>2550000</v>
      </c>
      <c r="U45" s="255">
        <f t="shared" si="44"/>
        <v>0</v>
      </c>
      <c r="V45" s="255">
        <f t="shared" si="44"/>
        <v>0</v>
      </c>
      <c r="W45" s="255">
        <f t="shared" si="44"/>
        <v>0</v>
      </c>
      <c r="X45" s="255">
        <f t="shared" si="44"/>
        <v>0</v>
      </c>
      <c r="Y45" s="255">
        <f t="shared" si="44"/>
        <v>0</v>
      </c>
      <c r="Z45" s="255">
        <f t="shared" si="44"/>
        <v>0</v>
      </c>
      <c r="AA45" s="255">
        <f t="shared" si="44"/>
        <v>0</v>
      </c>
      <c r="AB45" s="255">
        <f t="shared" si="44"/>
        <v>0</v>
      </c>
      <c r="AC45" s="255">
        <f t="shared" si="44"/>
        <v>0</v>
      </c>
      <c r="AD45" s="255">
        <f t="shared" si="44"/>
        <v>0</v>
      </c>
      <c r="AE45" s="255">
        <f t="shared" si="44"/>
        <v>0</v>
      </c>
      <c r="AF45" s="255">
        <f t="shared" si="44"/>
        <v>0</v>
      </c>
      <c r="AG45" s="255">
        <f t="shared" si="44"/>
        <v>0</v>
      </c>
      <c r="AH45" s="255">
        <f t="shared" si="44"/>
        <v>0</v>
      </c>
      <c r="AI45" s="255">
        <f t="shared" si="44"/>
        <v>0</v>
      </c>
      <c r="AJ45" s="255">
        <f>SUM(AJ33:AJ44)</f>
        <v>0</v>
      </c>
      <c r="AK45" s="255">
        <f t="shared" si="44"/>
        <v>0</v>
      </c>
      <c r="AL45" s="255">
        <f t="shared" si="44"/>
        <v>0</v>
      </c>
      <c r="AM45" s="255">
        <f t="shared" si="44"/>
        <v>0</v>
      </c>
      <c r="AN45" s="255">
        <f t="shared" si="44"/>
        <v>0</v>
      </c>
      <c r="AO45" s="255">
        <f t="shared" si="44"/>
        <v>0</v>
      </c>
      <c r="AP45" s="255">
        <f t="shared" si="44"/>
        <v>0</v>
      </c>
      <c r="AQ45" s="255">
        <f t="shared" si="44"/>
        <v>0</v>
      </c>
      <c r="AR45" s="255">
        <f t="shared" si="44"/>
        <v>0</v>
      </c>
      <c r="AS45" s="255">
        <f t="shared" si="44"/>
        <v>0</v>
      </c>
      <c r="AT45" s="255">
        <f t="shared" si="44"/>
        <v>0</v>
      </c>
      <c r="AU45" s="255">
        <f t="shared" si="44"/>
        <v>0</v>
      </c>
      <c r="AV45" s="255">
        <f t="shared" si="44"/>
        <v>0</v>
      </c>
      <c r="AW45" s="255">
        <f t="shared" si="44"/>
        <v>0</v>
      </c>
      <c r="AX45" s="255">
        <f t="shared" si="44"/>
        <v>0</v>
      </c>
      <c r="AY45" s="255">
        <f t="shared" si="44"/>
        <v>0</v>
      </c>
      <c r="AZ45" s="255">
        <f t="shared" si="44"/>
        <v>0</v>
      </c>
      <c r="BA45" s="255">
        <f t="shared" si="44"/>
        <v>0</v>
      </c>
      <c r="BB45" s="255">
        <f>SUM(BB33:BB44)</f>
        <v>0</v>
      </c>
    </row>
    <row r="46" spans="1:57" x14ac:dyDescent="0.25">
      <c r="O46" s="259">
        <f>O45-O19</f>
        <v>0</v>
      </c>
      <c r="P46" s="259"/>
      <c r="Q46" s="259">
        <f>Q45-Q19</f>
        <v>-38250000</v>
      </c>
      <c r="R46" s="259">
        <f t="shared" ref="R46:BA46" si="45">R45-R19</f>
        <v>0</v>
      </c>
      <c r="S46" s="259">
        <f t="shared" si="45"/>
        <v>0</v>
      </c>
      <c r="T46" s="259">
        <f t="shared" si="45"/>
        <v>-7650000</v>
      </c>
      <c r="U46" s="259">
        <f t="shared" si="45"/>
        <v>0</v>
      </c>
      <c r="V46" s="259">
        <f t="shared" si="45"/>
        <v>0</v>
      </c>
      <c r="W46" s="259">
        <f t="shared" si="45"/>
        <v>0</v>
      </c>
      <c r="X46" s="259">
        <f t="shared" si="45"/>
        <v>0</v>
      </c>
      <c r="Y46" s="259">
        <f t="shared" si="45"/>
        <v>0</v>
      </c>
      <c r="Z46" s="259">
        <f t="shared" si="45"/>
        <v>0</v>
      </c>
      <c r="AA46" s="259">
        <f t="shared" si="45"/>
        <v>0</v>
      </c>
      <c r="AB46" s="259">
        <f t="shared" si="45"/>
        <v>0</v>
      </c>
      <c r="AC46" s="259">
        <f t="shared" si="45"/>
        <v>0</v>
      </c>
      <c r="AD46" s="259">
        <f t="shared" si="45"/>
        <v>0</v>
      </c>
      <c r="AE46" s="259">
        <f>AE45-AE19</f>
        <v>0</v>
      </c>
      <c r="AF46" s="259">
        <f t="shared" si="45"/>
        <v>0</v>
      </c>
      <c r="AG46" s="259">
        <f>AG45-AG8</f>
        <v>0</v>
      </c>
      <c r="AH46" s="259">
        <f t="shared" si="45"/>
        <v>0</v>
      </c>
      <c r="AI46" s="259">
        <f t="shared" si="45"/>
        <v>0</v>
      </c>
      <c r="AJ46" s="259">
        <f>AJ45-AJ18</f>
        <v>0</v>
      </c>
      <c r="AK46" s="259">
        <f t="shared" si="45"/>
        <v>0</v>
      </c>
      <c r="AL46" s="259">
        <f>AL45-AL8</f>
        <v>0</v>
      </c>
      <c r="AM46" s="259">
        <f t="shared" si="45"/>
        <v>0</v>
      </c>
      <c r="AN46" s="259">
        <f t="shared" si="45"/>
        <v>0</v>
      </c>
      <c r="AO46" s="259">
        <f t="shared" si="45"/>
        <v>0</v>
      </c>
      <c r="AP46" s="259">
        <f t="shared" si="45"/>
        <v>0</v>
      </c>
      <c r="AQ46" s="259">
        <f t="shared" si="45"/>
        <v>0</v>
      </c>
      <c r="AR46" s="259">
        <f t="shared" si="45"/>
        <v>0</v>
      </c>
      <c r="AS46" s="259">
        <f t="shared" si="45"/>
        <v>0</v>
      </c>
      <c r="AT46" s="259">
        <f t="shared" si="45"/>
        <v>0</v>
      </c>
      <c r="AU46" s="259">
        <f t="shared" si="45"/>
        <v>0</v>
      </c>
      <c r="AV46" s="259">
        <f t="shared" si="45"/>
        <v>0</v>
      </c>
      <c r="AW46" s="259">
        <f t="shared" si="45"/>
        <v>0</v>
      </c>
      <c r="AX46" s="259">
        <f t="shared" si="45"/>
        <v>0</v>
      </c>
      <c r="AY46" s="259">
        <f>AY45-AY19</f>
        <v>0</v>
      </c>
      <c r="AZ46" s="259">
        <f t="shared" si="45"/>
        <v>0</v>
      </c>
      <c r="BA46" s="259">
        <f t="shared" si="45"/>
        <v>0</v>
      </c>
      <c r="BB46" s="259">
        <f>BB45-BB19</f>
        <v>0</v>
      </c>
    </row>
  </sheetData>
  <mergeCells count="6">
    <mergeCell ref="H31:J31"/>
    <mergeCell ref="H30:J30"/>
    <mergeCell ref="A32:C32"/>
    <mergeCell ref="A3:B3"/>
    <mergeCell ref="H1:J1"/>
    <mergeCell ref="H2:J2"/>
  </mergeCells>
  <dataValidations count="4">
    <dataValidation type="list" allowBlank="1" showInputMessage="1" showErrorMessage="1" sqref="AC4:AC7 AC14:AC17 AC9:AC12 AC33:AC44" xr:uid="{00000000-0002-0000-0300-000000000000}">
      <formula1>$AC$22:$AC$24</formula1>
    </dataValidation>
    <dataValidation type="list" allowBlank="1" showInputMessage="1" showErrorMessage="1" sqref="AA4:AA7 AD14:AD17 AA14:AA17 AD9:AD12 AD4:AD7 AA33:AA44 AD33:AD44 AA9:AA12" xr:uid="{00000000-0002-0000-0300-000001000000}">
      <formula1>$AA$22:$AA$24</formula1>
    </dataValidation>
    <dataValidation type="list" allowBlank="1" showInputMessage="1" showErrorMessage="1" sqref="H4:H7 H33:H44 H9:H12 H14:H17" xr:uid="{00000000-0002-0000-0300-000002000000}">
      <formula1>$B$23:$B$28</formula1>
    </dataValidation>
    <dataValidation type="list" allowBlank="1" showInputMessage="1" showErrorMessage="1" sqref="E4:E7 E33:E44 E9:E12 E14:E17" xr:uid="{00000000-0002-0000-0300-000003000000}">
      <formula1>$G$24:$G$25</formula1>
    </dataValidation>
  </dataValidations>
  <hyperlinks>
    <hyperlink ref="Y1" r:id="rId1" display="http://online.zakon.kz/Document/?link_id=1006083227" xr:uid="{00000000-0004-0000-0300-000000000000}"/>
    <hyperlink ref="K3" r:id="rId2" display="http://online.zakon.kz/Document/?link_id=1006844250" xr:uid="{00000000-0004-0000-0300-000001000000}"/>
    <hyperlink ref="L3" r:id="rId3" display="http://online.zakon.kz/Document/?link_id=1006844250" xr:uid="{00000000-0004-0000-0300-000002000000}"/>
    <hyperlink ref="AA22" r:id="rId4" location="z346" display="z346" xr:uid="{00000000-0004-0000-0300-000003000000}"/>
    <hyperlink ref="AN3" r:id="rId5" location="sub_id=4840304" tooltip="Кодекс Республики Казахстан от 25 декабря 2017 года № 120-VI «О налогах и других обязательных платежах в бюджет (Налоговый кодекс)» (с изменениями и дополнениями по состоянию на 01.04.2021 г.)" display="sub_id=4840304" xr:uid="{00000000-0004-0000-0300-000004000000}"/>
    <hyperlink ref="Y30" r:id="rId6" display="http://online.zakon.kz/Document/?link_id=1006083227" xr:uid="{00000000-0004-0000-0300-000005000000}"/>
    <hyperlink ref="K32" r:id="rId7" display="http://online.zakon.kz/Document/?link_id=1006844250" xr:uid="{00000000-0004-0000-0300-000006000000}"/>
    <hyperlink ref="L32" r:id="rId8" display="http://online.zakon.kz/Document/?link_id=1006844250" xr:uid="{00000000-0004-0000-0300-000007000000}"/>
    <hyperlink ref="AN32" r:id="rId9" location="sub_id=4840304" tooltip="Кодекс Республики Казахстан от 25 декабря 2017 года № 120-VI «О налогах и других обязательных платежах в бюджет (Налоговый кодекс)» (с изменениями и дополнениями по состоянию на 01.04.2021 г.)" display="sub_id=4840304" xr:uid="{00000000-0004-0000-0300-000008000000}"/>
  </hyperlinks>
  <pageMargins left="0.7" right="0.7" top="0.75" bottom="0.75" header="0.3" footer="0.3"/>
  <pageSetup paperSize="9" orientation="portrait"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44"/>
  <sheetViews>
    <sheetView workbookViewId="0">
      <pane xSplit="2" ySplit="2" topLeftCell="C9" activePane="bottomRight" state="frozen"/>
      <selection pane="topRight" activeCell="C1" sqref="C1"/>
      <selection pane="bottomLeft" activeCell="A3" sqref="A3"/>
      <selection pane="bottomRight" activeCell="S4" sqref="S4"/>
    </sheetView>
  </sheetViews>
  <sheetFormatPr defaultColWidth="8.88671875" defaultRowHeight="13.2" x14ac:dyDescent="0.25"/>
  <cols>
    <col min="1" max="1" width="4.44140625" style="48" customWidth="1"/>
    <col min="2" max="2" width="14.6640625" style="48" customWidth="1"/>
    <col min="3" max="3" width="12.33203125" style="48" customWidth="1"/>
    <col min="4" max="4" width="8.88671875" style="48"/>
    <col min="5" max="5" width="10.33203125" style="48" customWidth="1"/>
    <col min="6" max="6" width="13.88671875" style="48" customWidth="1"/>
    <col min="7" max="7" width="14" style="48" customWidth="1"/>
    <col min="8" max="9" width="9.33203125" style="48" customWidth="1"/>
    <col min="10" max="15" width="8.88671875" style="48"/>
    <col min="16" max="16" width="11.33203125" style="48" customWidth="1"/>
    <col min="17" max="17" width="10.33203125" style="48" bestFit="1" customWidth="1"/>
    <col min="18" max="18" width="15" style="48" customWidth="1"/>
    <col min="19" max="19" width="11.6640625" style="48" customWidth="1"/>
    <col min="20" max="24" width="12.33203125" style="48" customWidth="1"/>
    <col min="25" max="25" width="13.6640625" style="48" customWidth="1"/>
    <col min="26" max="26" width="11.33203125" style="48" customWidth="1"/>
    <col min="27" max="27" width="13.44140625" style="48" customWidth="1"/>
    <col min="28" max="28" width="11.6640625" style="48" customWidth="1"/>
    <col min="29" max="29" width="15" style="48" customWidth="1"/>
    <col min="30" max="30" width="13.33203125" style="48" customWidth="1"/>
    <col min="31" max="16384" width="8.88671875" style="48"/>
  </cols>
  <sheetData>
    <row r="1" spans="1:30" ht="177.6" customHeight="1" x14ac:dyDescent="0.25">
      <c r="A1" s="44" t="s">
        <v>88</v>
      </c>
      <c r="B1" s="44" t="s">
        <v>244</v>
      </c>
      <c r="C1" s="227" t="s">
        <v>245</v>
      </c>
      <c r="D1" s="51" t="s">
        <v>246</v>
      </c>
      <c r="E1" s="227" t="s">
        <v>247</v>
      </c>
      <c r="F1" s="227" t="s">
        <v>298</v>
      </c>
      <c r="G1" s="227" t="s">
        <v>248</v>
      </c>
      <c r="H1" s="227" t="s">
        <v>50</v>
      </c>
      <c r="I1" s="227" t="s">
        <v>302</v>
      </c>
      <c r="J1" s="227" t="s">
        <v>249</v>
      </c>
      <c r="K1" s="227" t="s">
        <v>122</v>
      </c>
      <c r="L1" s="227" t="s">
        <v>250</v>
      </c>
      <c r="M1" s="227" t="s">
        <v>303</v>
      </c>
      <c r="N1" s="227" t="s">
        <v>252</v>
      </c>
      <c r="O1" s="227" t="s">
        <v>255</v>
      </c>
      <c r="P1" s="227" t="s">
        <v>304</v>
      </c>
      <c r="Q1" s="227" t="s">
        <v>257</v>
      </c>
      <c r="R1" s="227" t="s">
        <v>305</v>
      </c>
      <c r="S1" s="227" t="s">
        <v>259</v>
      </c>
      <c r="T1" s="227" t="s">
        <v>261</v>
      </c>
      <c r="U1" s="228" t="s">
        <v>306</v>
      </c>
      <c r="V1" s="228" t="s">
        <v>307</v>
      </c>
      <c r="W1" s="228" t="s">
        <v>309</v>
      </c>
      <c r="X1" s="228" t="s">
        <v>311</v>
      </c>
      <c r="Y1" s="228" t="s">
        <v>263</v>
      </c>
      <c r="Z1" s="228" t="s">
        <v>265</v>
      </c>
      <c r="AA1" s="228" t="s">
        <v>315</v>
      </c>
      <c r="AB1" s="228" t="s">
        <v>266</v>
      </c>
      <c r="AC1" s="228" t="s">
        <v>475</v>
      </c>
      <c r="AD1" s="228" t="s">
        <v>476</v>
      </c>
    </row>
    <row r="2" spans="1:30" ht="13.2" customHeight="1" x14ac:dyDescent="0.25">
      <c r="A2" s="229" t="s">
        <v>11</v>
      </c>
      <c r="B2" s="229" t="s">
        <v>13</v>
      </c>
      <c r="C2" s="229" t="s">
        <v>16</v>
      </c>
      <c r="D2" s="229" t="s">
        <v>212</v>
      </c>
      <c r="E2" s="229" t="s">
        <v>213</v>
      </c>
      <c r="F2" s="229" t="s">
        <v>214</v>
      </c>
      <c r="G2" s="229" t="s">
        <v>220</v>
      </c>
      <c r="H2" s="229" t="s">
        <v>299</v>
      </c>
      <c r="I2" s="230" t="s">
        <v>31</v>
      </c>
      <c r="J2" s="229" t="s">
        <v>251</v>
      </c>
      <c r="K2" s="229" t="s">
        <v>253</v>
      </c>
      <c r="L2" s="229" t="s">
        <v>254</v>
      </c>
      <c r="M2" s="229" t="s">
        <v>256</v>
      </c>
      <c r="N2" s="229" t="s">
        <v>258</v>
      </c>
      <c r="O2" s="229" t="s">
        <v>260</v>
      </c>
      <c r="P2" s="229" t="s">
        <v>262</v>
      </c>
      <c r="Q2" s="230" t="s">
        <v>264</v>
      </c>
      <c r="R2" s="230" t="s">
        <v>300</v>
      </c>
      <c r="S2" s="230" t="s">
        <v>301</v>
      </c>
      <c r="T2" s="230" t="s">
        <v>267</v>
      </c>
      <c r="U2" s="230" t="s">
        <v>268</v>
      </c>
      <c r="V2" s="230" t="s">
        <v>428</v>
      </c>
      <c r="W2" s="230" t="s">
        <v>308</v>
      </c>
      <c r="X2" s="230" t="s">
        <v>310</v>
      </c>
      <c r="Y2" s="230" t="s">
        <v>312</v>
      </c>
      <c r="Z2" s="230" t="s">
        <v>313</v>
      </c>
      <c r="AA2" s="230" t="s">
        <v>314</v>
      </c>
      <c r="AB2" s="230" t="s">
        <v>316</v>
      </c>
      <c r="AC2" s="230" t="s">
        <v>317</v>
      </c>
      <c r="AD2" s="230" t="s">
        <v>477</v>
      </c>
    </row>
    <row r="3" spans="1:30" ht="13.2" customHeight="1" x14ac:dyDescent="0.25">
      <c r="A3" s="317" t="s">
        <v>269</v>
      </c>
      <c r="B3" s="317"/>
      <c r="C3" s="232"/>
      <c r="D3" s="232"/>
      <c r="E3" s="232"/>
      <c r="F3" s="232"/>
      <c r="G3" s="232"/>
      <c r="H3" s="232"/>
      <c r="I3" s="232"/>
      <c r="J3" s="233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3"/>
      <c r="AA3" s="233"/>
      <c r="AB3" s="233"/>
      <c r="AC3" s="233"/>
      <c r="AD3" s="233"/>
    </row>
    <row r="4" spans="1:30" ht="13.2" customHeight="1" x14ac:dyDescent="0.25">
      <c r="A4" s="48">
        <v>2</v>
      </c>
      <c r="B4" s="214" t="s">
        <v>436</v>
      </c>
      <c r="C4" s="214"/>
      <c r="D4" s="214"/>
      <c r="E4" s="214"/>
      <c r="H4" s="48">
        <f>SUMIF(РегистрОПВ!B$14:B$52,регистр200.05!B4,РегистрОПВ!E$14:E$52)</f>
        <v>0</v>
      </c>
      <c r="J4" s="48">
        <f>SUMIF(РегистрИПН!B$15:B$53,B4,РегистрИПН!E$15:E$53)</f>
        <v>0</v>
      </c>
      <c r="K4" s="48">
        <f>SUMIF(РегистрОПВ!B$14:B$52,B4,РегистрОПВ!L$14:L$52)</f>
        <v>0</v>
      </c>
      <c r="L4" s="48">
        <f>SUMIF(РегистрОПВ!B$14:B$52,B4,РегистрОПВ!T$14:T$52)</f>
        <v>0</v>
      </c>
      <c r="N4" s="48">
        <f>SUMIF(РегистрИПН!B$15:B$53,B4,РегистрИПН!F$15:F$53)</f>
        <v>0</v>
      </c>
      <c r="P4" s="214"/>
      <c r="Q4" s="48">
        <f>SUMIF(РегистрИПН!B$15:B$53,B4,РегистрИПН!J$15:J$53)</f>
        <v>0</v>
      </c>
      <c r="R4" s="210">
        <f>РегистрИПН!N41</f>
        <v>0</v>
      </c>
      <c r="S4" s="48">
        <f>SUMIF(РегистрИПН!B$15:B$53,B4,РегистрИПН!M$15:M$53)</f>
        <v>0</v>
      </c>
      <c r="T4" s="234">
        <f>SUMIF(РегистрИПН!B$15:B$53,РегистрИПН!B15,РегистрИПН!R$15:R$53)</f>
        <v>0</v>
      </c>
      <c r="U4" s="234">
        <f>SUMIF(РегистрОПВ!B$14:B$52,РегистрОПВ!B14,РегистрОПВ!N$14:N$52)</f>
        <v>0</v>
      </c>
      <c r="V4" s="234">
        <f>SUMIF(РегистрОПВ!B$14:B$52,РегистрОПВ!B14,РегистрОПВ!T$14:T$52)</f>
        <v>0</v>
      </c>
      <c r="W4" s="234">
        <f>SUMIF(РегистрСН!B$15:B$53,РегистрСН!B15,РегистрСН!F15:G53)</f>
        <v>0</v>
      </c>
      <c r="X4" s="234">
        <f>SUMIF(РегистрСН!B$15:B$53,РегистрСН!B15,РегистрСН!H$15:H$53)</f>
        <v>0</v>
      </c>
      <c r="Y4" s="234">
        <f>Z4+AA4</f>
        <v>0</v>
      </c>
      <c r="Z4" s="48">
        <f>SUMIF('РегистрСО ОСМС'!B$15:B$53,B4,'РегистрСО ОСМС'!I$15:I$53)</f>
        <v>0</v>
      </c>
      <c r="AA4" s="48">
        <f>SUMIF(РегистрСН!B$15:B$53,B4,РегистрСН!K$15:K$53)</f>
        <v>0</v>
      </c>
      <c r="AC4" s="48">
        <f>SUMIF('РегистрСО ОСМС'!B$15:B$53,B4,'РегистрСО ОСМС'!O$15:O$53)</f>
        <v>0</v>
      </c>
      <c r="AD4" s="48">
        <f>SUMIF(РегистрОПВ!B14:B53,B4,РегистрОПВ!U14:U53)</f>
        <v>0</v>
      </c>
    </row>
    <row r="5" spans="1:30" ht="13.2" customHeight="1" x14ac:dyDescent="0.25">
      <c r="A5" s="48">
        <v>3</v>
      </c>
      <c r="B5" s="214" t="s">
        <v>437</v>
      </c>
      <c r="C5" s="214"/>
      <c r="D5" s="214"/>
      <c r="E5" s="214"/>
      <c r="H5" s="48">
        <f>SUMIF(РегистрОПВ!B$14:B$52,регистр200.05!B5,РегистрОПВ!E$14:E$52)</f>
        <v>0</v>
      </c>
      <c r="J5" s="48">
        <f>SUMIF(РегистрИПН!B$15:B$53,B5,РегистрИПН!E$15:E$53)</f>
        <v>0</v>
      </c>
      <c r="K5" s="48">
        <f>SUMIF(РегистрОПВ!B$14:B$52,B5,РегистрОПВ!L$14:L$52)</f>
        <v>0</v>
      </c>
      <c r="L5" s="48">
        <f>SUMIF(РегистрОПВ!B$14:B$52,B5,РегистрОПВ!T$14:T$52)</f>
        <v>0</v>
      </c>
      <c r="N5" s="48">
        <f>SUMIF(РегистрИПН!B$15:B$53,B5,РегистрИПН!F$15:F$53)</f>
        <v>0</v>
      </c>
      <c r="P5" s="214"/>
      <c r="Q5" s="48">
        <f>SUMIF(РегистрИПН!B$15:B$53,B5,РегистрИПН!J$15:J$53)</f>
        <v>0</v>
      </c>
      <c r="R5" s="210">
        <f>РегистрИПН!N42</f>
        <v>0</v>
      </c>
      <c r="S5" s="48">
        <f>SUMIF(РегистрИПН!B$15:B$53,B5,РегистрИПН!M$15:M$53)</f>
        <v>0</v>
      </c>
      <c r="T5" s="234">
        <f>SUMIF(РегистрИПН!B$15:B$53,РегистрИПН!B16,РегистрИПН!R$15:R$53)</f>
        <v>0</v>
      </c>
      <c r="U5" s="234">
        <f>SUMIF(РегистрОПВ!B$14:B$52,РегистрОПВ!B15,РегистрОПВ!N$14:N$52)</f>
        <v>0</v>
      </c>
      <c r="V5" s="234">
        <f>SUMIF(РегистрОПВ!B$14:B$52,РегистрОПВ!B15,РегистрОПВ!T$14:T$52)</f>
        <v>0</v>
      </c>
      <c r="W5" s="234">
        <f>SUMIF(РегистрСН!B$15:B$53,РегистрСН!B16,РегистрСН!F16:G54)</f>
        <v>0</v>
      </c>
      <c r="X5" s="234">
        <f>SUMIF(РегистрСН!B$15:B$53,РегистрСН!B16,РегистрСН!H$15:H$53)</f>
        <v>0</v>
      </c>
      <c r="Y5" s="234">
        <f t="shared" ref="Y5:Y14" si="0">Z5+AA5</f>
        <v>0</v>
      </c>
      <c r="Z5" s="48">
        <f>SUMIF('РегистрСО ОСМС'!B$15:B$53,B5,'РегистрСО ОСМС'!I$15:I$53)</f>
        <v>0</v>
      </c>
      <c r="AA5" s="48">
        <f>SUMIF(РегистрСН!B$15:B$53,B5,РегистрСН!K$15:K$53)</f>
        <v>0</v>
      </c>
      <c r="AC5" s="48">
        <f>SUMIF('РегистрСО ОСМС'!B$15:B$53,B5,'РегистрСО ОСМС'!O$15:O$53)</f>
        <v>0</v>
      </c>
      <c r="AD5" s="48">
        <f>SUMIF(РегистрОПВ!B15:B54,B5,РегистрОПВ!U15:U54)</f>
        <v>0</v>
      </c>
    </row>
    <row r="6" spans="1:30" ht="13.2" customHeight="1" x14ac:dyDescent="0.25">
      <c r="A6" s="48">
        <v>4</v>
      </c>
      <c r="B6" s="214" t="s">
        <v>438</v>
      </c>
      <c r="C6" s="214"/>
      <c r="D6" s="214"/>
      <c r="E6" s="214"/>
      <c r="H6" s="48">
        <f>SUMIF(РегистрОПВ!B$14:B$52,регистр200.05!B6,РегистрОПВ!E$14:E$52)</f>
        <v>0</v>
      </c>
      <c r="J6" s="48">
        <f>SUMIF(РегистрИПН!B$15:B$53,B6,РегистрИПН!E$15:E$53)</f>
        <v>0</v>
      </c>
      <c r="K6" s="48">
        <f>SUMIF(РегистрОПВ!B$14:B$52,B6,РегистрОПВ!L$14:L$52)</f>
        <v>0</v>
      </c>
      <c r="L6" s="48">
        <f>SUMIF(РегистрОПВ!B$14:B$52,B6,РегистрОПВ!T$14:T$52)</f>
        <v>0</v>
      </c>
      <c r="N6" s="48">
        <f>SUMIF(РегистрИПН!B$15:B$53,B6,РегистрИПН!F$15:F$53)</f>
        <v>0</v>
      </c>
      <c r="P6" s="214"/>
      <c r="Q6" s="48">
        <f>SUMIF(РегистрИПН!B$15:B$53,B6,РегистрИПН!J$15:J$53)</f>
        <v>0</v>
      </c>
      <c r="R6" s="210">
        <f>РегистрИПН!N43</f>
        <v>0</v>
      </c>
      <c r="S6" s="48">
        <f>SUMIF(РегистрИПН!B$15:B$53,B6,РегистрИПН!M$15:M$53)</f>
        <v>0</v>
      </c>
      <c r="T6" s="234">
        <f>SUMIF(РегистрИПН!B$15:B$53,РегистрИПН!B17,РегистрИПН!R$15:R$53)</f>
        <v>0</v>
      </c>
      <c r="U6" s="234">
        <f>SUMIF(РегистрОПВ!B$14:B$52,РегистрОПВ!B16,РегистрОПВ!N$14:N$52)</f>
        <v>0</v>
      </c>
      <c r="V6" s="234">
        <f>SUMIF(РегистрОПВ!B$14:B$52,РегистрОПВ!B16,РегистрОПВ!T$14:T$52)</f>
        <v>0</v>
      </c>
      <c r="W6" s="234">
        <f>SUMIF(РегистрСН!B$15:B$53,РегистрСН!B17,РегистрСН!F17:G55)</f>
        <v>0</v>
      </c>
      <c r="X6" s="234">
        <f>SUMIF(РегистрСН!B$15:B$53,РегистрСН!B17,РегистрСН!H$15:H$53)</f>
        <v>0</v>
      </c>
      <c r="Y6" s="234">
        <f t="shared" si="0"/>
        <v>0</v>
      </c>
      <c r="Z6" s="48">
        <f>SUMIF('РегистрСО ОСМС'!B$15:B$53,B6,'РегистрСО ОСМС'!I$15:I$53)</f>
        <v>0</v>
      </c>
      <c r="AA6" s="48">
        <f>SUMIF(РегистрСН!B$15:B$53,B6,РегистрСН!K$15:K$53)</f>
        <v>0</v>
      </c>
      <c r="AC6" s="48">
        <f>SUMIF('РегистрСО ОСМС'!B$15:B$53,B6,'РегистрСО ОСМС'!O$15:O$53)</f>
        <v>0</v>
      </c>
      <c r="AD6" s="48">
        <f>SUMIF(РегистрОПВ!B16:B55,B6,РегистрОПВ!U16:U55)</f>
        <v>0</v>
      </c>
    </row>
    <row r="7" spans="1:30" ht="13.2" customHeight="1" x14ac:dyDescent="0.25">
      <c r="A7" s="48">
        <v>5</v>
      </c>
      <c r="B7" s="214" t="s">
        <v>439</v>
      </c>
      <c r="C7" s="214"/>
      <c r="D7" s="214"/>
      <c r="E7" s="214"/>
      <c r="H7" s="48">
        <f>SUMIF(РегистрОПВ!B$14:B$52,регистр200.05!B7,РегистрОПВ!E$14:E$52)</f>
        <v>0</v>
      </c>
      <c r="J7" s="48">
        <f>SUMIF(РегистрИПН!B$15:B$53,B7,РегистрИПН!E$15:E$53)</f>
        <v>0</v>
      </c>
      <c r="K7" s="48">
        <f>SUMIF(РегистрОПВ!B$14:B$52,B7,РегистрОПВ!L$14:L$52)</f>
        <v>0</v>
      </c>
      <c r="L7" s="48">
        <f>SUMIF(РегистрОПВ!B$14:B$52,B7,РегистрОПВ!T$14:T$52)</f>
        <v>0</v>
      </c>
      <c r="N7" s="48">
        <f>SUMIF(РегистрИПН!B$15:B$53,B7,РегистрИПН!F$15:F$53)</f>
        <v>0</v>
      </c>
      <c r="P7" s="214"/>
      <c r="Q7" s="48">
        <f>SUMIF(РегистрИПН!B$15:B$53,B7,РегистрИПН!J$15:J$53)</f>
        <v>0</v>
      </c>
      <c r="R7" s="210">
        <f>РегистрИПН!N44</f>
        <v>0</v>
      </c>
      <c r="S7" s="48">
        <f>SUMIF(РегистрИПН!B$15:B$53,B7,РегистрИПН!M$15:M$53)</f>
        <v>0</v>
      </c>
      <c r="T7" s="234">
        <f>SUMIF(РегистрИПН!B$15:B$53,РегистрИПН!B18,РегистрИПН!R$15:R$53)</f>
        <v>0</v>
      </c>
      <c r="U7" s="234">
        <f>SUMIF(РегистрОПВ!B$14:B$52,РегистрОПВ!B17,РегистрОПВ!N$14:N$52)</f>
        <v>0</v>
      </c>
      <c r="V7" s="234">
        <f>SUMIF(РегистрОПВ!B$14:B$52,РегистрОПВ!B17,РегистрОПВ!T$14:T$52)</f>
        <v>0</v>
      </c>
      <c r="W7" s="234">
        <f>SUMIF(РегистрСН!B$15:B$53,РегистрСН!B18,РегистрСН!F18:G56)</f>
        <v>0</v>
      </c>
      <c r="X7" s="234">
        <f>SUMIF(РегистрСН!B$15:B$53,РегистрСН!B18,РегистрСН!H$15:H$53)</f>
        <v>0</v>
      </c>
      <c r="Y7" s="234">
        <f t="shared" si="0"/>
        <v>0</v>
      </c>
      <c r="Z7" s="48">
        <f>SUMIF('РегистрСО ОСМС'!B$15:B$53,B7,'РегистрСО ОСМС'!I$15:I$53)</f>
        <v>0</v>
      </c>
      <c r="AA7" s="48">
        <f>SUMIF(РегистрСН!B$15:B$53,B7,РегистрСН!K$15:K$53)</f>
        <v>0</v>
      </c>
      <c r="AC7" s="48">
        <f>SUMIF('РегистрСО ОСМС'!B$15:B$53,B7,'РегистрСО ОСМС'!O$15:O$53)</f>
        <v>0</v>
      </c>
      <c r="AD7" s="48">
        <f>SUMIF(РегистрОПВ!B17:B56,B7,РегистрОПВ!U17:U56)</f>
        <v>0</v>
      </c>
    </row>
    <row r="8" spans="1:30" ht="13.2" customHeight="1" x14ac:dyDescent="0.25">
      <c r="A8" s="48">
        <v>6</v>
      </c>
      <c r="B8" s="214" t="s">
        <v>440</v>
      </c>
      <c r="C8" s="214"/>
      <c r="D8" s="214"/>
      <c r="E8" s="214"/>
      <c r="H8" s="48">
        <f>SUMIF(РегистрОПВ!B$14:B$52,регистр200.05!B8,РегистрОПВ!E$14:E$52)</f>
        <v>0</v>
      </c>
      <c r="J8" s="48">
        <f>SUMIF(РегистрИПН!B$15:B$53,B8,РегистрИПН!E$15:E$53)</f>
        <v>0</v>
      </c>
      <c r="K8" s="48">
        <f>SUMIF(РегистрОПВ!B$14:B$52,B8,РегистрОПВ!L$14:L$52)</f>
        <v>0</v>
      </c>
      <c r="L8" s="48">
        <f>SUMIF(РегистрОПВ!B$14:B$52,B8,РегистрОПВ!T$14:T$52)</f>
        <v>0</v>
      </c>
      <c r="N8" s="48">
        <f>SUMIF(РегистрИПН!B$15:B$53,B8,РегистрИПН!F$15:F$53)</f>
        <v>0</v>
      </c>
      <c r="P8" s="214"/>
      <c r="Q8" s="48">
        <f>SUMIF(РегистрИПН!B$15:B$53,B8,РегистрИПН!J$15:J$53)</f>
        <v>0</v>
      </c>
      <c r="R8" s="210">
        <f>РегистрИПН!N45</f>
        <v>0</v>
      </c>
      <c r="S8" s="48">
        <f>SUMIF(РегистрИПН!B$15:B$53,B8,РегистрИПН!M$15:M$53)</f>
        <v>0</v>
      </c>
      <c r="T8" s="234">
        <f>SUMIF(РегистрИПН!B$15:B$53,РегистрИПН!B19,РегистрИПН!R$15:R$53)</f>
        <v>0</v>
      </c>
      <c r="U8" s="234">
        <f>SUMIF(РегистрОПВ!B$14:B$52,РегистрОПВ!B18,РегистрОПВ!N$14:N$52)</f>
        <v>0</v>
      </c>
      <c r="V8" s="234">
        <f>SUMIF(РегистрОПВ!B$14:B$52,РегистрОПВ!B18,РегистрОПВ!T$14:T$52)</f>
        <v>0</v>
      </c>
      <c r="W8" s="234">
        <f>SUMIF(РегистрСН!B$15:B$53,РегистрСН!B19,РегистрСН!F19:G57)</f>
        <v>0</v>
      </c>
      <c r="X8" s="234">
        <f>SUMIF(РегистрСН!B$15:B$53,РегистрСН!B19,РегистрСН!H$15:H$53)</f>
        <v>0</v>
      </c>
      <c r="Y8" s="234">
        <f t="shared" si="0"/>
        <v>0</v>
      </c>
      <c r="Z8" s="48">
        <f>SUMIF('РегистрСО ОСМС'!B$15:B$53,B8,'РегистрСО ОСМС'!I$15:I$53)</f>
        <v>0</v>
      </c>
      <c r="AA8" s="48">
        <f>SUMIF(РегистрСН!B$15:B$53,B8,РегистрСН!K$15:K$53)</f>
        <v>0</v>
      </c>
      <c r="AC8" s="48">
        <f>SUMIF('РегистрСО ОСМС'!B$15:B$53,B8,'РегистрСО ОСМС'!O$15:O$53)</f>
        <v>0</v>
      </c>
      <c r="AD8" s="48">
        <f>SUMIF(РегистрОПВ!B18:B57,B8,РегистрОПВ!U18:U57)</f>
        <v>0</v>
      </c>
    </row>
    <row r="9" spans="1:30" x14ac:dyDescent="0.25">
      <c r="A9" s="48">
        <v>7</v>
      </c>
      <c r="B9" s="214" t="s">
        <v>441</v>
      </c>
      <c r="C9" s="214"/>
      <c r="D9" s="214"/>
      <c r="E9" s="214"/>
      <c r="H9" s="48">
        <f>SUMIF(РегистрОПВ!B$14:B$52,регистр200.05!B9,РегистрОПВ!E$14:E$52)</f>
        <v>0</v>
      </c>
      <c r="J9" s="48">
        <f>SUMIF(РегистрИПН!B$15:B$53,B9,РегистрИПН!E$15:E$53)</f>
        <v>0</v>
      </c>
      <c r="K9" s="48">
        <f>SUMIF(РегистрОПВ!B$14:B$52,B9,РегистрОПВ!L$14:L$52)</f>
        <v>0</v>
      </c>
      <c r="L9" s="48">
        <f>SUMIF(РегистрОПВ!B$14:B$52,B9,РегистрОПВ!T$14:T$52)</f>
        <v>0</v>
      </c>
      <c r="N9" s="48">
        <f>SUMIF(РегистрИПН!B$15:B$53,B9,РегистрИПН!F$15:F$53)</f>
        <v>0</v>
      </c>
      <c r="P9" s="214"/>
      <c r="Q9" s="48">
        <f>SUMIF(РегистрИПН!B$15:B$53,B9,РегистрИПН!J$15:J$53)</f>
        <v>0</v>
      </c>
      <c r="R9" s="210">
        <f>РегистрИПН!N46</f>
        <v>0</v>
      </c>
      <c r="S9" s="48">
        <f>SUMIF(РегистрИПН!B$15:B$53,B9,РегистрИПН!M$15:M$53)</f>
        <v>0</v>
      </c>
      <c r="T9" s="234">
        <f>SUMIF(РегистрИПН!B$15:B$53,РегистрИПН!B20,РегистрИПН!R$15:R$53)</f>
        <v>0</v>
      </c>
      <c r="U9" s="234">
        <f>SUMIF(РегистрОПВ!B$14:B$52,РегистрОПВ!B19,РегистрОПВ!N$14:N$52)</f>
        <v>0</v>
      </c>
      <c r="V9" s="234">
        <f>SUMIF(РегистрОПВ!B$14:B$52,РегистрОПВ!B19,РегистрОПВ!T$14:T$52)</f>
        <v>0</v>
      </c>
      <c r="W9" s="234">
        <f>SUMIF(РегистрСН!B$15:B$53,РегистрСН!B20,РегистрСН!F20:G58)</f>
        <v>0</v>
      </c>
      <c r="X9" s="234">
        <f>SUMIF(РегистрСН!B$15:B$53,РегистрСН!B20,РегистрСН!H$15:H$53)</f>
        <v>0</v>
      </c>
      <c r="Y9" s="234">
        <f t="shared" si="0"/>
        <v>0</v>
      </c>
      <c r="Z9" s="48">
        <f>SUMIF('РегистрСО ОСМС'!B$15:B$53,B9,'РегистрСО ОСМС'!I$15:I$53)</f>
        <v>0</v>
      </c>
      <c r="AA9" s="48">
        <f>SUMIF(РегистрСН!B$15:B$53,B9,РегистрСН!K$15:K$53)</f>
        <v>0</v>
      </c>
      <c r="AC9" s="48">
        <f>SUMIF('РегистрСО ОСМС'!B$15:B$53,B9,'РегистрСО ОСМС'!O$15:O$53)</f>
        <v>0</v>
      </c>
      <c r="AD9" s="48">
        <f>SUMIF(РегистрОПВ!B19:B58,B9,РегистрОПВ!U19:U58)</f>
        <v>0</v>
      </c>
    </row>
    <row r="10" spans="1:30" x14ac:dyDescent="0.25">
      <c r="A10" s="48">
        <v>8</v>
      </c>
      <c r="B10" s="214"/>
      <c r="C10" s="214"/>
      <c r="D10" s="214"/>
      <c r="E10" s="214"/>
      <c r="H10" s="48">
        <f>SUMIF(РегистрОПВ!B$14:B$52,регистр200.05!B10,РегистрОПВ!E$14:E$52)</f>
        <v>0</v>
      </c>
      <c r="J10" s="48">
        <f>SUMIF(РегистрИПН!B$15:B$53,B10,РегистрИПН!E$15:E$53)</f>
        <v>0</v>
      </c>
      <c r="K10" s="48">
        <f>SUMIF(РегистрОПВ!B$14:B$52,B10,РегистрОПВ!L$14:L$52)</f>
        <v>0</v>
      </c>
      <c r="L10" s="48">
        <f>SUMIF(РегистрОПВ!B$14:B$52,B10,РегистрОПВ!T$14:T$52)</f>
        <v>0</v>
      </c>
      <c r="N10" s="48">
        <f>SUMIF(РегистрИПН!B$15:B$53,B10,РегистрИПН!F$15:F$53)</f>
        <v>0</v>
      </c>
      <c r="P10" s="214"/>
      <c r="Q10" s="48">
        <f>SUMIF(РегистрИПН!B$15:B$53,B10,РегистрИПН!J$15:J$53)</f>
        <v>0</v>
      </c>
      <c r="R10" s="210">
        <f>РегистрИПН!N47</f>
        <v>0</v>
      </c>
      <c r="S10" s="48">
        <f>SUMIF(РегистрИПН!B$15:B$53,B10,РегистрИПН!M$15:M$53)</f>
        <v>0</v>
      </c>
      <c r="T10" s="234">
        <f>SUMIF(РегистрИПН!B$15:B$53,РегистрИПН!B21,РегистрИПН!R$15:R$53)</f>
        <v>0</v>
      </c>
      <c r="U10" s="234">
        <f>SUMIF(РегистрОПВ!B$14:B$52,РегистрОПВ!B20,РегистрОПВ!N$14:N$52)</f>
        <v>0</v>
      </c>
      <c r="V10" s="234">
        <f>SUMIF(РегистрОПВ!B$14:B$52,РегистрОПВ!B20,РегистрОПВ!T$14:T$52)</f>
        <v>0</v>
      </c>
      <c r="W10" s="234">
        <f>SUMIF(РегистрСН!B$15:B$53,РегистрСН!B21,РегистрСН!F21:G59)</f>
        <v>0</v>
      </c>
      <c r="X10" s="234">
        <f>SUMIF(РегистрСН!B$15:B$53,РегистрСН!B21,РегистрСН!H$15:H$53)</f>
        <v>0</v>
      </c>
      <c r="Y10" s="234">
        <f t="shared" si="0"/>
        <v>0</v>
      </c>
      <c r="Z10" s="48">
        <f>SUMIF('РегистрСО ОСМС'!B$15:B$53,B10,'РегистрСО ОСМС'!I$15:I$53)</f>
        <v>0</v>
      </c>
      <c r="AA10" s="48">
        <f>SUMIF(РегистрСН!B$15:B$53,B10,РегистрСН!K$15:K$53)</f>
        <v>0</v>
      </c>
      <c r="AC10" s="48">
        <f>SUMIF('РегистрСО ОСМС'!B$15:B$53,B10,'РегистрСО ОСМС'!O$15:O$53)</f>
        <v>0</v>
      </c>
      <c r="AD10" s="48">
        <f>SUMIF(РегистрОПВ!B20:B59,B10,РегистрОПВ!U20:U59)</f>
        <v>0</v>
      </c>
    </row>
    <row r="11" spans="1:30" x14ac:dyDescent="0.25">
      <c r="A11" s="48">
        <v>9</v>
      </c>
      <c r="B11" s="214"/>
      <c r="C11" s="214"/>
      <c r="D11" s="214"/>
      <c r="E11" s="214"/>
      <c r="H11" s="48">
        <f>SUMIF(РегистрОПВ!B$14:B$52,регистр200.05!B11,РегистрОПВ!E$14:E$52)</f>
        <v>0</v>
      </c>
      <c r="J11" s="48">
        <f>SUMIF(РегистрИПН!B$15:B$53,B11,РегистрИПН!E$15:E$53)</f>
        <v>0</v>
      </c>
      <c r="K11" s="48">
        <f>SUMIF(РегистрОПВ!B$14:B$52,B11,РегистрОПВ!L$14:L$52)</f>
        <v>0</v>
      </c>
      <c r="L11" s="48">
        <f>SUMIF(РегистрОПВ!B$14:B$52,B11,РегистрОПВ!T$14:T$52)</f>
        <v>0</v>
      </c>
      <c r="N11" s="48">
        <f>SUMIF(РегистрИПН!B$15:B$53,B11,РегистрИПН!F$15:F$53)</f>
        <v>0</v>
      </c>
      <c r="P11" s="214"/>
      <c r="Q11" s="48">
        <f>SUMIF(РегистрИПН!B$15:B$53,B11,РегистрИПН!J$15:J$53)</f>
        <v>0</v>
      </c>
      <c r="R11" s="210">
        <f>РегистрИПН!N48</f>
        <v>0</v>
      </c>
      <c r="S11" s="48">
        <f>SUMIF(РегистрИПН!B$15:B$53,B11,РегистрИПН!M$15:M$53)</f>
        <v>0</v>
      </c>
      <c r="T11" s="234">
        <f>SUMIF(РегистрИПН!B$15:B$53,РегистрИПН!B22,РегистрИПН!R$15:R$53)</f>
        <v>0</v>
      </c>
      <c r="U11" s="234">
        <f>SUMIF(РегистрОПВ!B$14:B$52,РегистрОПВ!B21,РегистрОПВ!N$14:N$52)</f>
        <v>0</v>
      </c>
      <c r="V11" s="234">
        <f>SUMIF(РегистрОПВ!B$14:B$52,РегистрОПВ!B21,РегистрОПВ!T$14:T$52)</f>
        <v>0</v>
      </c>
      <c r="W11" s="234">
        <f>SUMIF(РегистрСН!B$15:B$53,РегистрСН!B22,РегистрСН!F22:G60)</f>
        <v>0</v>
      </c>
      <c r="X11" s="234">
        <f>SUMIF(РегистрСН!B$15:B$53,РегистрСН!B22,РегистрСН!H$15:H$53)</f>
        <v>0</v>
      </c>
      <c r="Y11" s="234">
        <f t="shared" si="0"/>
        <v>0</v>
      </c>
      <c r="Z11" s="48">
        <f>SUMIF('РегистрСО ОСМС'!B$15:B$53,B11,'РегистрСО ОСМС'!I$15:I$53)</f>
        <v>0</v>
      </c>
      <c r="AA11" s="48">
        <f>SUMIF(РегистрСН!B$15:B$53,B11,РегистрСН!K$15:K$53)</f>
        <v>0</v>
      </c>
      <c r="AC11" s="48">
        <f>SUMIF('РегистрСО ОСМС'!B$15:B$53,B11,'РегистрСО ОСМС'!O$15:O$53)</f>
        <v>0</v>
      </c>
      <c r="AD11" s="48">
        <f>SUMIF(РегистрОПВ!B21:B60,B11,РегистрОПВ!U21:U60)</f>
        <v>0</v>
      </c>
    </row>
    <row r="12" spans="1:30" x14ac:dyDescent="0.25">
      <c r="A12" s="48">
        <v>10</v>
      </c>
      <c r="B12" s="214"/>
      <c r="C12" s="214"/>
      <c r="D12" s="214"/>
      <c r="E12" s="214"/>
      <c r="H12" s="48">
        <f>SUMIF(РегистрОПВ!B$14:B$52,регистр200.05!B12,РегистрОПВ!E$14:E$52)</f>
        <v>0</v>
      </c>
      <c r="J12" s="48">
        <f>SUMIF(РегистрИПН!B$15:B$53,B12,РегистрИПН!E$15:E$53)</f>
        <v>0</v>
      </c>
      <c r="K12" s="48">
        <f>SUMIF(РегистрОПВ!B$14:B$52,B12,РегистрОПВ!L$14:L$52)</f>
        <v>0</v>
      </c>
      <c r="L12" s="48">
        <f>SUMIF(РегистрОПВ!B$14:B$52,B12,РегистрОПВ!T$14:T$52)</f>
        <v>0</v>
      </c>
      <c r="N12" s="48">
        <f>SUMIF(РегистрИПН!B$15:B$53,B12,РегистрИПН!F$15:F$53)</f>
        <v>0</v>
      </c>
      <c r="P12" s="214"/>
      <c r="Q12" s="48">
        <f>SUMIF(РегистрИПН!B$15:B$53,B12,РегистрИПН!J$15:J$53)</f>
        <v>0</v>
      </c>
      <c r="R12" s="210">
        <f>РегистрИПН!N49</f>
        <v>0</v>
      </c>
      <c r="S12" s="48">
        <f>SUMIF(РегистрИПН!B$15:B$53,B12,РегистрИПН!M$15:M$53)</f>
        <v>0</v>
      </c>
      <c r="T12" s="234">
        <f>SUMIF(РегистрИПН!B$15:B$53,РегистрИПН!B23,РегистрИПН!R$15:R$53)</f>
        <v>0</v>
      </c>
      <c r="U12" s="234">
        <f>SUMIF(РегистрОПВ!B$14:B$52,РегистрОПВ!B22,РегистрОПВ!N$14:N$52)</f>
        <v>0</v>
      </c>
      <c r="V12" s="234">
        <f>SUMIF(РегистрОПВ!B$14:B$52,РегистрОПВ!B22,РегистрОПВ!T$14:T$52)</f>
        <v>0</v>
      </c>
      <c r="W12" s="234">
        <f>SUMIF(РегистрСН!B$15:B$53,РегистрСН!B23,РегистрСН!F23:G61)</f>
        <v>0</v>
      </c>
      <c r="X12" s="234">
        <f>SUMIF(РегистрСН!B$15:B$53,РегистрСН!B23,РегистрСН!H$15:H$53)</f>
        <v>0</v>
      </c>
      <c r="Y12" s="234">
        <f t="shared" si="0"/>
        <v>0</v>
      </c>
      <c r="Z12" s="48">
        <f>SUMIF('РегистрСО ОСМС'!B$15:B$53,B12,'РегистрСО ОСМС'!I$15:I$53)</f>
        <v>0</v>
      </c>
      <c r="AA12" s="48">
        <f>SUMIF(РегистрСН!B$15:B$53,B12,РегистрСН!K$15:K$53)</f>
        <v>0</v>
      </c>
      <c r="AC12" s="48">
        <f>SUMIF('РегистрСО ОСМС'!B$15:B$53,B12,'РегистрСО ОСМС'!O$15:O$53)</f>
        <v>0</v>
      </c>
      <c r="AD12" s="48">
        <f>SUMIF(РегистрОПВ!B22:B61,B12,РегистрОПВ!U22:U61)</f>
        <v>0</v>
      </c>
    </row>
    <row r="13" spans="1:30" x14ac:dyDescent="0.25">
      <c r="A13" s="48">
        <v>11</v>
      </c>
      <c r="B13" s="214"/>
      <c r="C13" s="214"/>
      <c r="D13" s="214"/>
      <c r="E13" s="214"/>
      <c r="H13" s="48">
        <f>SUMIF(РегистрОПВ!B$14:B$52,регистр200.05!B13,РегистрОПВ!E$14:E$52)</f>
        <v>0</v>
      </c>
      <c r="J13" s="48">
        <f>SUMIF(РегистрИПН!B$15:B$53,B13,РегистрИПН!E$15:E$53)</f>
        <v>0</v>
      </c>
      <c r="K13" s="48">
        <f>SUMIF(РегистрОПВ!B$14:B$52,B13,РегистрОПВ!L$14:L$52)</f>
        <v>0</v>
      </c>
      <c r="L13" s="48">
        <f>SUMIF(РегистрОПВ!B$14:B$52,B13,РегистрОПВ!T$14:T$52)</f>
        <v>0</v>
      </c>
      <c r="N13" s="48">
        <f>SUMIF(РегистрИПН!B$15:B$53,B13,РегистрИПН!F$15:F$53)</f>
        <v>0</v>
      </c>
      <c r="P13" s="214"/>
      <c r="Q13" s="48">
        <f>SUMIF(РегистрИПН!B$15:B$53,B13,РегистрИПН!J$15:J$53)</f>
        <v>0</v>
      </c>
      <c r="R13" s="210">
        <f>РегистрИПН!N50</f>
        <v>0</v>
      </c>
      <c r="S13" s="48">
        <f>SUMIF(РегистрИПН!B$15:B$53,B13,РегистрИПН!M$15:M$53)</f>
        <v>0</v>
      </c>
      <c r="T13" s="234">
        <f>SUMIF(РегистрИПН!B$15:B$53,РегистрИПН!B24,РегистрИПН!R$15:R$53)</f>
        <v>0</v>
      </c>
      <c r="U13" s="234">
        <f>SUMIF(РегистрОПВ!B$14:B$52,РегистрОПВ!B23,РегистрОПВ!N$14:N$52)</f>
        <v>0</v>
      </c>
      <c r="V13" s="234">
        <f>SUMIF(РегистрОПВ!B$14:B$52,РегистрОПВ!B23,РегистрОПВ!T$14:T$52)</f>
        <v>0</v>
      </c>
      <c r="W13" s="234">
        <f>SUMIF(РегистрСН!B$15:B$53,РегистрСН!B24,РегистрСН!F24:G62)</f>
        <v>0</v>
      </c>
      <c r="X13" s="234">
        <f>SUMIF(РегистрСН!B$15:B$53,РегистрСН!B24,РегистрСН!H$15:H$53)</f>
        <v>0</v>
      </c>
      <c r="Y13" s="234">
        <f t="shared" si="0"/>
        <v>0</v>
      </c>
      <c r="Z13" s="48">
        <f>SUMIF('РегистрСО ОСМС'!B$15:B$53,B13,'РегистрСО ОСМС'!I$15:I$53)</f>
        <v>0</v>
      </c>
      <c r="AA13" s="48">
        <f>SUMIF(РегистрСН!B$15:B$53,B13,РегистрСН!K$15:K$53)</f>
        <v>0</v>
      </c>
      <c r="AC13" s="48">
        <f>SUMIF('РегистрСО ОСМС'!B$15:B$53,B13,'РегистрСО ОСМС'!O$15:O$53)</f>
        <v>0</v>
      </c>
      <c r="AD13" s="48">
        <f>SUMIF(РегистрОПВ!B23:B62,B13,РегистрОПВ!U23:U62)</f>
        <v>0</v>
      </c>
    </row>
    <row r="14" spans="1:30" x14ac:dyDescent="0.25">
      <c r="A14" s="48">
        <v>12</v>
      </c>
      <c r="B14" s="214"/>
      <c r="C14" s="214"/>
      <c r="D14" s="214"/>
      <c r="E14" s="214"/>
      <c r="H14" s="48">
        <f>SUMIF(РегистрОПВ!B$14:B$52,регистр200.05!B14,РегистрОПВ!E$14:E$52)</f>
        <v>0</v>
      </c>
      <c r="J14" s="48">
        <f>SUMIF(РегистрИПН!B$15:B$53,B14,РегистрИПН!E$15:E$53)</f>
        <v>0</v>
      </c>
      <c r="K14" s="48">
        <f>SUMIF(РегистрОПВ!B$14:B$52,B14,РегистрОПВ!L$14:L$52)</f>
        <v>0</v>
      </c>
      <c r="L14" s="48">
        <f>SUMIF(РегистрОПВ!B$14:B$52,B14,РегистрОПВ!T$14:T$52)</f>
        <v>0</v>
      </c>
      <c r="N14" s="48">
        <f>SUMIF(РегистрИПН!B$15:B$53,B14,РегистрИПН!F$15:F$53)</f>
        <v>0</v>
      </c>
      <c r="P14" s="214"/>
      <c r="Q14" s="48">
        <f>SUMIF(РегистрИПН!B$15:B$53,B14,РегистрИПН!J$15:J$53)</f>
        <v>0</v>
      </c>
      <c r="R14" s="210">
        <f>РегистрИПН!N51</f>
        <v>0</v>
      </c>
      <c r="S14" s="48">
        <f>SUMIF(РегистрИПН!B$15:B$53,B14,РегистрИПН!M$15:M$53)</f>
        <v>0</v>
      </c>
      <c r="T14" s="234">
        <f>SUMIF(РегистрИПН!B$15:B$53,РегистрИПН!B25,РегистрИПН!R$15:R$53)</f>
        <v>0</v>
      </c>
      <c r="U14" s="234">
        <f>SUMIF(РегистрОПВ!B$14:B$52,РегистрОПВ!B24,РегистрОПВ!N$14:N$52)</f>
        <v>0</v>
      </c>
      <c r="V14" s="234">
        <f>SUMIF(РегистрОПВ!B$14:B$52,РегистрОПВ!B24,РегистрОПВ!T$14:T$52)</f>
        <v>0</v>
      </c>
      <c r="W14" s="234">
        <f>SUMIF(РегистрСН!B$15:B$53,РегистрСН!B25,РегистрСН!F25:G63)</f>
        <v>0</v>
      </c>
      <c r="X14" s="234">
        <f>SUMIF(РегистрСН!B$15:B$53,РегистрСН!B25,РегистрСН!H$15:H$53)</f>
        <v>0</v>
      </c>
      <c r="Y14" s="234">
        <f t="shared" si="0"/>
        <v>0</v>
      </c>
      <c r="Z14" s="48">
        <f>SUMIF('РегистрСО ОСМС'!B$15:B$53,B14,'РегистрСО ОСМС'!I$15:I$53)</f>
        <v>0</v>
      </c>
      <c r="AA14" s="48">
        <f>SUMIF(РегистрСН!B$15:B$53,B14,РегистрСН!K$15:K$53)</f>
        <v>0</v>
      </c>
      <c r="AC14" s="48">
        <f>SUMIF('РегистрСО ОСМС'!B$15:B$53,B14,'РегистрСО ОСМС'!O$15:O$53)</f>
        <v>0</v>
      </c>
      <c r="AD14" s="48">
        <f>SUMIF(РегистрОПВ!B24:B63,B14,РегистрОПВ!U24:U63)</f>
        <v>0</v>
      </c>
    </row>
    <row r="15" spans="1:30" x14ac:dyDescent="0.25">
      <c r="A15" s="48">
        <v>13</v>
      </c>
      <c r="B15" s="214"/>
      <c r="C15" s="214"/>
      <c r="D15" s="214"/>
      <c r="E15" s="214"/>
      <c r="K15" s="48">
        <f>SUMIF(РегистрОПВ!B$14:B$52,B15,РегистрОПВ!L$14:L$52)</f>
        <v>0</v>
      </c>
      <c r="R15" s="210"/>
      <c r="AD15" s="48">
        <f>SUMIF(РегистрОПВ!B25:B64,B15,РегистрОПВ!U25:U64)</f>
        <v>0</v>
      </c>
    </row>
    <row r="16" spans="1:30" x14ac:dyDescent="0.25">
      <c r="B16" s="232" t="s">
        <v>277</v>
      </c>
      <c r="C16" s="232"/>
      <c r="D16" s="232"/>
      <c r="E16" s="232"/>
      <c r="F16" s="232"/>
      <c r="G16" s="232"/>
      <c r="H16" s="232">
        <f>SUM(H4:H15)</f>
        <v>0</v>
      </c>
      <c r="I16" s="232"/>
      <c r="J16" s="232">
        <f t="shared" ref="J16:AA16" si="1">SUM(J4:J15)</f>
        <v>0</v>
      </c>
      <c r="K16" s="232">
        <f>SUM(K4:K15)</f>
        <v>0</v>
      </c>
      <c r="L16" s="232">
        <f t="shared" si="1"/>
        <v>0</v>
      </c>
      <c r="M16" s="232"/>
      <c r="N16" s="232">
        <f t="shared" si="1"/>
        <v>0</v>
      </c>
      <c r="O16" s="232"/>
      <c r="P16" s="232">
        <f t="shared" si="1"/>
        <v>0</v>
      </c>
      <c r="Q16" s="232">
        <f t="shared" si="1"/>
        <v>0</v>
      </c>
      <c r="R16" s="232">
        <f t="shared" si="1"/>
        <v>0</v>
      </c>
      <c r="S16" s="232">
        <f t="shared" si="1"/>
        <v>0</v>
      </c>
      <c r="T16" s="288">
        <f t="shared" si="1"/>
        <v>0</v>
      </c>
      <c r="U16" s="288">
        <f t="shared" si="1"/>
        <v>0</v>
      </c>
      <c r="V16" s="232">
        <f t="shared" si="1"/>
        <v>0</v>
      </c>
      <c r="W16" s="232">
        <f t="shared" si="1"/>
        <v>0</v>
      </c>
      <c r="X16" s="232">
        <f t="shared" si="1"/>
        <v>0</v>
      </c>
      <c r="Y16" s="232">
        <f t="shared" si="1"/>
        <v>0</v>
      </c>
      <c r="Z16" s="232">
        <f>SUM(Z4:Z15)</f>
        <v>0</v>
      </c>
      <c r="AA16" s="232">
        <f t="shared" si="1"/>
        <v>0</v>
      </c>
      <c r="AB16" s="232">
        <f>SUM(AB4:AB15)</f>
        <v>0</v>
      </c>
      <c r="AC16" s="232">
        <f>SUM(AC4:AC15)</f>
        <v>0</v>
      </c>
      <c r="AD16" s="232">
        <f>SUM(AD4:AD15)</f>
        <v>0</v>
      </c>
    </row>
    <row r="17" spans="1:30" x14ac:dyDescent="0.25">
      <c r="B17" s="48" t="s">
        <v>278</v>
      </c>
      <c r="H17" s="234">
        <f>H16-РегистрИПН!D54</f>
        <v>0</v>
      </c>
      <c r="I17" s="234"/>
      <c r="J17" s="234">
        <f>J16-РегистрИПН!E54</f>
        <v>0</v>
      </c>
      <c r="K17" s="234">
        <f>РегистрИПН!G54-регистр200.05!K16</f>
        <v>0</v>
      </c>
      <c r="L17" s="234">
        <f>L16-РегистрОПВ!T53</f>
        <v>0</v>
      </c>
      <c r="M17" s="234"/>
      <c r="N17" s="234">
        <f>РегистрИПН!F54-регистр200.05!N16</f>
        <v>0</v>
      </c>
      <c r="O17" s="234"/>
      <c r="Q17" s="234">
        <f>Q16-РегистрИПН!J54</f>
        <v>0</v>
      </c>
      <c r="R17" s="234"/>
      <c r="S17" s="234">
        <f>S16-РегистрИПН!M54</f>
        <v>0</v>
      </c>
      <c r="T17" s="48">
        <f>T16-РегистрИПН!R54</f>
        <v>0</v>
      </c>
      <c r="Z17" s="210">
        <f>регистр200.05!Z16-'РегистрСО ОСМС'!I54</f>
        <v>0</v>
      </c>
      <c r="AA17" s="234">
        <f>AA16-РегистрСН!K54</f>
        <v>0</v>
      </c>
      <c r="AC17" s="234">
        <f>AC16-'РегистрСО ОСМС'!O54</f>
        <v>0</v>
      </c>
      <c r="AD17" s="234">
        <f>AD16-'РегистрСО ОСМС'!P54</f>
        <v>0</v>
      </c>
    </row>
    <row r="18" spans="1:30" x14ac:dyDescent="0.25">
      <c r="A18" s="294" t="s">
        <v>270</v>
      </c>
      <c r="B18" s="294"/>
    </row>
    <row r="19" spans="1:30" x14ac:dyDescent="0.25">
      <c r="A19" s="48">
        <v>1</v>
      </c>
      <c r="B19" s="214" t="s">
        <v>442</v>
      </c>
      <c r="C19" s="214"/>
      <c r="D19" s="214"/>
      <c r="E19" s="214"/>
      <c r="H19" s="48">
        <f>SUMIF(ДоговораГПХ!B$9:B$46,B19,ДоговораГПХ!D$9:D$47)</f>
        <v>250000</v>
      </c>
      <c r="J19" s="48">
        <f>SUMIF(ДоговораГПХ!B$9:B$46,B19,ДоговораГПХ!P$9:P$46)</f>
        <v>0</v>
      </c>
      <c r="K19" s="48">
        <f>SUMIF(ДоговораГПХ!B$9:B$46,B19,ДоговораГПХ!H$9:H$46)</f>
        <v>0</v>
      </c>
      <c r="L19" s="48">
        <f>SUMIF(ДоговораГПХ!B$9:B$46,B19,ДоговораГПХ!AG$9:AG$46)</f>
        <v>0</v>
      </c>
      <c r="N19" s="48">
        <f>SUMIF(ДоговораГПХ!B$9:B$46,B19,ДоговораГПХ!Q$9:Q$46)</f>
        <v>0</v>
      </c>
      <c r="P19" s="214"/>
      <c r="Q19" s="48">
        <f>SUMIF(ДоговораГПХ!B$9:B$46,ДоговораГПХ!B9,ДоговораГПХ!T$9:T$46)</f>
        <v>25000</v>
      </c>
      <c r="S19" s="48">
        <f>SUMIF(ДоговораГПХ!B$9:B$46,B19,ДоговораГПХ!V$9:V$46)</f>
        <v>225000</v>
      </c>
      <c r="T19" s="48">
        <f>SUMIF(ДоговораГПХ!B$9:B$46,B19,ДоговораГПХ!AA$9:AA$46)</f>
        <v>25000</v>
      </c>
    </row>
    <row r="20" spans="1:30" x14ac:dyDescent="0.25">
      <c r="A20" s="48">
        <v>2</v>
      </c>
      <c r="B20" s="214"/>
      <c r="C20" s="214"/>
      <c r="D20" s="214"/>
      <c r="E20" s="214"/>
      <c r="H20" s="48">
        <f>SUMIF(ДоговораГПХ!B$9:B$46,B20,ДоговораГПХ!D$9:D$47)</f>
        <v>0</v>
      </c>
      <c r="J20" s="48">
        <f>SUMIF(ДоговораГПХ!B$9:B$46,B20,ДоговораГПХ!P$9:P$46)</f>
        <v>0</v>
      </c>
      <c r="K20" s="48">
        <f>SUMIF(ДоговораГПХ!B$9:B$46,B20,ДоговораГПХ!H$9:H$46)</f>
        <v>0</v>
      </c>
      <c r="L20" s="48">
        <f>SUMIF(ДоговораГПХ!B$9:B$46,B20,ДоговораГПХ!AG$9:AG$46)</f>
        <v>0</v>
      </c>
      <c r="N20" s="48">
        <f>SUMIF(ДоговораГПХ!B$9:B$46,B20,ДоговораГПХ!Q$9:Q$46)</f>
        <v>0</v>
      </c>
      <c r="P20" s="214"/>
      <c r="Q20" s="48">
        <f>SUMIF(ДоговораГПХ!B$9:B$46,ДоговораГПХ!B10,ДоговораГПХ!T$9:T$46)</f>
        <v>0</v>
      </c>
      <c r="S20" s="48">
        <f>SUMIF(ДоговораГПХ!B$9:B$46,B20,ДоговораГПХ!V$9:V$46)</f>
        <v>0</v>
      </c>
      <c r="T20" s="48">
        <f>SUMIF(ДоговораГПХ!B$9:B$46,B20,ДоговораГПХ!AA$9:AA$46)</f>
        <v>0</v>
      </c>
    </row>
    <row r="21" spans="1:30" x14ac:dyDescent="0.25">
      <c r="A21" s="48">
        <v>3</v>
      </c>
      <c r="B21" s="214"/>
      <c r="C21" s="214"/>
      <c r="D21" s="214"/>
      <c r="E21" s="214"/>
      <c r="H21" s="48">
        <f>SUMIF(ДоговораГПХ!B$9:B$46,B21,ДоговораГПХ!D$9:D$47)</f>
        <v>0</v>
      </c>
      <c r="J21" s="48">
        <f>SUMIF(ДоговораГПХ!B$9:B$46,B21,ДоговораГПХ!P$9:P$46)</f>
        <v>0</v>
      </c>
      <c r="K21" s="48">
        <f>SUMIF(ДоговораГПХ!B$9:B$46,B21,ДоговораГПХ!H$9:H$46)</f>
        <v>0</v>
      </c>
      <c r="L21" s="48">
        <f>SUMIF(ДоговораГПХ!B$9:B$46,B21,ДоговораГПХ!AG$9:AG$46)</f>
        <v>0</v>
      </c>
      <c r="N21" s="48">
        <f>SUMIF(ДоговораГПХ!B$9:B$46,B21,ДоговораГПХ!Q$9:Q$46)</f>
        <v>0</v>
      </c>
      <c r="P21" s="214"/>
      <c r="Q21" s="48">
        <f>SUMIF(ДоговораГПХ!B$9:B$46,ДоговораГПХ!B11,ДоговораГПХ!T$9:T$46)</f>
        <v>0</v>
      </c>
      <c r="S21" s="48">
        <f>SUMIF(ДоговораГПХ!B$9:B$46,B21,ДоговораГПХ!V$9:V$46)</f>
        <v>0</v>
      </c>
      <c r="T21" s="48">
        <f>SUMIF(ДоговораГПХ!B$9:B$46,B21,ДоговораГПХ!AA$9:AA$46)</f>
        <v>0</v>
      </c>
      <c r="AA21" s="234"/>
    </row>
    <row r="22" spans="1:30" x14ac:dyDescent="0.25">
      <c r="A22" s="48">
        <v>4</v>
      </c>
      <c r="B22" s="214"/>
      <c r="C22" s="214"/>
      <c r="D22" s="214"/>
      <c r="E22" s="214"/>
      <c r="H22" s="48">
        <f>SUMIF(ДоговораГПХ!B$9:B$46,B22,ДоговораГПХ!D$9:D$47)</f>
        <v>0</v>
      </c>
      <c r="J22" s="48">
        <f>SUMIF(ДоговораГПХ!B$9:B$46,B22,ДоговораГПХ!P$9:P$46)</f>
        <v>0</v>
      </c>
      <c r="K22" s="48">
        <f>SUMIF(ДоговораГПХ!B$9:B$46,B22,ДоговораГПХ!H$9:H$46)</f>
        <v>0</v>
      </c>
      <c r="L22" s="48">
        <f>SUMIF(ДоговораГПХ!B$9:B$46,B22,ДоговораГПХ!AG$9:AG$46)</f>
        <v>0</v>
      </c>
      <c r="N22" s="48">
        <f>SUMIF(ДоговораГПХ!B$9:B$46,B22,ДоговораГПХ!Q$9:Q$46)</f>
        <v>0</v>
      </c>
      <c r="P22" s="214"/>
      <c r="Q22" s="48">
        <f>SUMIF(ДоговораГПХ!B$9:B$46,ДоговораГПХ!B12,ДоговораГПХ!T$9:T$46)</f>
        <v>0</v>
      </c>
      <c r="S22" s="48">
        <f>SUMIF(ДоговораГПХ!B$9:B$46,B22,ДоговораГПХ!V$9:V$46)</f>
        <v>0</v>
      </c>
      <c r="T22" s="48">
        <f>SUMIF(ДоговораГПХ!B$9:B$46,B22,ДоговораГПХ!AA$9:AA$46)</f>
        <v>0</v>
      </c>
      <c r="AA22" s="234"/>
    </row>
    <row r="23" spans="1:30" x14ac:dyDescent="0.25">
      <c r="A23" s="48">
        <v>5</v>
      </c>
      <c r="B23" s="214"/>
      <c r="C23" s="214"/>
      <c r="D23" s="214"/>
      <c r="E23" s="214"/>
      <c r="H23" s="48">
        <f>SUMIF(ДоговораГПХ!B$9:B$46,B23,ДоговораГПХ!D$9:D$47)</f>
        <v>0</v>
      </c>
      <c r="J23" s="48">
        <f>SUMIF(ДоговораГПХ!B$9:B$46,B23,ДоговораГПХ!P$9:P$46)</f>
        <v>0</v>
      </c>
      <c r="K23" s="48">
        <f>SUMIF(ДоговораГПХ!B$9:B$46,B23,ДоговораГПХ!H$9:H$46)</f>
        <v>0</v>
      </c>
      <c r="L23" s="48">
        <f>SUMIF(ДоговораГПХ!B$9:B$46,B23,ДоговораГПХ!AG$9:AG$46)</f>
        <v>0</v>
      </c>
      <c r="N23" s="48">
        <f>SUMIF(ДоговораГПХ!B$9:B$46,B23,ДоговораГПХ!Q$9:Q$46)</f>
        <v>0</v>
      </c>
      <c r="P23" s="214"/>
      <c r="Q23" s="48">
        <f>SUMIF(ДоговораГПХ!B$9:B$46,ДоговораГПХ!B13,ДоговораГПХ!T$9:T$46)</f>
        <v>0</v>
      </c>
      <c r="S23" s="48">
        <f>SUMIF(ДоговораГПХ!B$9:B$46,B23,ДоговораГПХ!V$9:V$46)</f>
        <v>0</v>
      </c>
      <c r="T23" s="48">
        <f>SUMIF(ДоговораГПХ!B$9:B$46,B23,ДоговораГПХ!AA$9:AA$46)</f>
        <v>0</v>
      </c>
      <c r="AA23" s="234"/>
    </row>
    <row r="24" spans="1:30" x14ac:dyDescent="0.25">
      <c r="A24" s="48">
        <v>6</v>
      </c>
      <c r="B24" s="214"/>
      <c r="C24" s="214"/>
      <c r="D24" s="214"/>
      <c r="E24" s="214"/>
      <c r="H24" s="48">
        <f>SUMIF(ДоговораГПХ!B$9:B$46,B24,ДоговораГПХ!D$9:D$47)</f>
        <v>0</v>
      </c>
      <c r="J24" s="48">
        <f>SUMIF(ДоговораГПХ!B$9:B$46,B24,ДоговораГПХ!P$9:P$46)</f>
        <v>0</v>
      </c>
      <c r="K24" s="48">
        <f>SUMIF(ДоговораГПХ!B$9:B$46,B24,ДоговораГПХ!H$9:H$46)</f>
        <v>0</v>
      </c>
      <c r="L24" s="48">
        <f>SUMIF(ДоговораГПХ!B$9:B$46,B24,ДоговораГПХ!AG$9:AG$46)</f>
        <v>0</v>
      </c>
      <c r="N24" s="48">
        <f>SUMIF(ДоговораГПХ!B$9:B$46,B24,ДоговораГПХ!Q$9:Q$46)</f>
        <v>0</v>
      </c>
      <c r="P24" s="214"/>
      <c r="Q24" s="48">
        <f>SUMIF(ДоговораГПХ!B$9:B$46,ДоговораГПХ!B14,ДоговораГПХ!T$9:T$46)</f>
        <v>0</v>
      </c>
      <c r="S24" s="48">
        <f>SUMIF(ДоговораГПХ!B$9:B$46,B24,ДоговораГПХ!V$9:V$46)</f>
        <v>0</v>
      </c>
      <c r="T24" s="48">
        <f>SUMIF(ДоговораГПХ!B$9:B$46,B24,ДоговораГПХ!AA$9:AA$46)</f>
        <v>0</v>
      </c>
      <c r="AA24" s="234"/>
    </row>
    <row r="25" spans="1:30" x14ac:dyDescent="0.25">
      <c r="A25" s="48">
        <v>7</v>
      </c>
      <c r="B25" s="214"/>
      <c r="C25" s="214"/>
      <c r="D25" s="214"/>
      <c r="E25" s="214"/>
      <c r="H25" s="48">
        <f>SUMIF(ДоговораГПХ!B$9:B$46,B25,ДоговораГПХ!D$9:D$47)</f>
        <v>0</v>
      </c>
      <c r="J25" s="48">
        <f>SUMIF(ДоговораГПХ!B$9:B$46,B25,ДоговораГПХ!P$9:P$46)</f>
        <v>0</v>
      </c>
      <c r="K25" s="48">
        <f>SUMIF(ДоговораГПХ!B$9:B$46,B25,ДоговораГПХ!H$9:H$46)</f>
        <v>0</v>
      </c>
      <c r="L25" s="48">
        <f>SUMIF(ДоговораГПХ!B$9:B$46,B25,ДоговораГПХ!AG$9:AG$46)</f>
        <v>0</v>
      </c>
      <c r="N25" s="48">
        <f>SUMIF(ДоговораГПХ!B$9:B$46,B25,ДоговораГПХ!Q$9:Q$46)</f>
        <v>0</v>
      </c>
      <c r="P25" s="214"/>
      <c r="Q25" s="48">
        <f>SUMIF(ДоговораГПХ!B$9:B$46,ДоговораГПХ!B15,ДоговораГПХ!T$9:T$46)</f>
        <v>0</v>
      </c>
      <c r="S25" s="48">
        <f>SUMIF(ДоговораГПХ!B$9:B$46,B25,ДоговораГПХ!V$9:V$46)</f>
        <v>0</v>
      </c>
      <c r="T25" s="48">
        <f>SUMIF(ДоговораГПХ!B$9:B$46,B25,ДоговораГПХ!AA$9:AA$46)</f>
        <v>0</v>
      </c>
      <c r="AA25" s="234"/>
    </row>
    <row r="26" spans="1:30" x14ac:dyDescent="0.25">
      <c r="A26" s="48">
        <v>8</v>
      </c>
      <c r="B26" s="214"/>
      <c r="C26" s="214"/>
      <c r="D26" s="214"/>
      <c r="E26" s="214"/>
      <c r="H26" s="48">
        <f>SUMIF(ДоговораГПХ!B$9:B$46,B26,ДоговораГПХ!D$9:D$47)</f>
        <v>0</v>
      </c>
      <c r="J26" s="48">
        <f>SUMIF(ДоговораГПХ!B$9:B$46,B26,ДоговораГПХ!P$9:P$46)</f>
        <v>0</v>
      </c>
      <c r="K26" s="48">
        <f>SUMIF(ДоговораГПХ!B$9:B$46,B26,ДоговораГПХ!H$9:H$46)</f>
        <v>0</v>
      </c>
      <c r="L26" s="48">
        <f>SUMIF(ДоговораГПХ!B$9:B$46,B26,ДоговораГПХ!AG$9:AG$46)</f>
        <v>0</v>
      </c>
      <c r="N26" s="48">
        <f>SUMIF(ДоговораГПХ!B$9:B$46,B26,ДоговораГПХ!Q$9:Q$46)</f>
        <v>0</v>
      </c>
      <c r="P26" s="214"/>
      <c r="Q26" s="48">
        <f>SUMIF(ДоговораГПХ!B$9:B$46,ДоговораГПХ!B16,ДоговораГПХ!T$9:T$46)</f>
        <v>0</v>
      </c>
      <c r="S26" s="48">
        <f>SUMIF(ДоговораГПХ!B$9:B$46,B26,ДоговораГПХ!V$9:V$46)</f>
        <v>0</v>
      </c>
      <c r="T26" s="48">
        <f>SUMIF(ДоговораГПХ!B$9:B$46,B26,ДоговораГПХ!AA$9:AA$46)</f>
        <v>0</v>
      </c>
      <c r="AA26" s="234"/>
    </row>
    <row r="27" spans="1:30" x14ac:dyDescent="0.25">
      <c r="A27" s="48">
        <v>9</v>
      </c>
      <c r="B27" s="214"/>
      <c r="C27" s="214"/>
      <c r="D27" s="214"/>
      <c r="E27" s="214"/>
      <c r="H27" s="48">
        <f>SUMIF(ДоговораГПХ!B$9:B$46,B27,ДоговораГПХ!D$9:D$47)</f>
        <v>0</v>
      </c>
      <c r="J27" s="48">
        <f>SUMIF(ДоговораГПХ!B$9:B$46,B27,ДоговораГПХ!P$9:P$46)</f>
        <v>0</v>
      </c>
      <c r="K27" s="48">
        <f>SUMIF(ДоговораГПХ!B$9:B$46,B27,ДоговораГПХ!H$9:H$46)</f>
        <v>0</v>
      </c>
      <c r="L27" s="48">
        <f>SUMIF(ДоговораГПХ!B$9:B$46,B27,ДоговораГПХ!AG$9:AG$46)</f>
        <v>0</v>
      </c>
      <c r="N27" s="48">
        <f>SUMIF(ДоговораГПХ!B$9:B$46,B27,ДоговораГПХ!Q$9:Q$46)</f>
        <v>0</v>
      </c>
      <c r="P27" s="214"/>
      <c r="Q27" s="48">
        <f>SUMIF(ДоговораГПХ!B$9:B$46,ДоговораГПХ!B17,ДоговораГПХ!T$9:T$46)</f>
        <v>0</v>
      </c>
      <c r="S27" s="48">
        <f>SUMIF(ДоговораГПХ!B$9:B$46,B27,ДоговораГПХ!V$9:V$46)</f>
        <v>0</v>
      </c>
      <c r="T27" s="48">
        <f>SUMIF(ДоговораГПХ!B$9:B$46,B27,ДоговораГПХ!AA$9:AA$46)</f>
        <v>0</v>
      </c>
      <c r="AA27" s="234"/>
    </row>
    <row r="28" spans="1:30" x14ac:dyDescent="0.25">
      <c r="A28" s="48">
        <v>10</v>
      </c>
      <c r="B28" s="214"/>
      <c r="C28" s="214"/>
      <c r="D28" s="214"/>
      <c r="E28" s="214"/>
      <c r="H28" s="48">
        <f>SUMIF(ДоговораГПХ!B$9:B$46,B28,ДоговораГПХ!D$9:D$47)</f>
        <v>0</v>
      </c>
      <c r="J28" s="48">
        <f>SUMIF(ДоговораГПХ!B$9:B$46,B28,ДоговораГПХ!P$9:P$46)</f>
        <v>0</v>
      </c>
      <c r="K28" s="48">
        <f>SUMIF(ДоговораГПХ!B$9:B$46,B28,ДоговораГПХ!H$9:H$46)</f>
        <v>0</v>
      </c>
      <c r="L28" s="48">
        <f>SUMIF(ДоговораГПХ!B$9:B$46,B28,ДоговораГПХ!AG$9:AG$46)</f>
        <v>0</v>
      </c>
      <c r="N28" s="48">
        <f>SUMIF(ДоговораГПХ!B$9:B$46,B28,ДоговораГПХ!Q$9:Q$46)</f>
        <v>0</v>
      </c>
      <c r="P28" s="214"/>
      <c r="Q28" s="48">
        <f>SUMIF(ДоговораГПХ!B$9:B$46,ДоговораГПХ!B18,ДоговораГПХ!T$9:T$46)</f>
        <v>0</v>
      </c>
      <c r="S28" s="48">
        <f>SUMIF(ДоговораГПХ!B$9:B$46,B28,ДоговораГПХ!V$9:V$46)</f>
        <v>0</v>
      </c>
      <c r="T28" s="48">
        <f>SUMIF(ДоговораГПХ!B$9:B$46,B28,ДоговораГПХ!AA$9:AA$46)</f>
        <v>0</v>
      </c>
      <c r="AA28" s="234"/>
    </row>
    <row r="29" spans="1:30" x14ac:dyDescent="0.25">
      <c r="A29" s="48">
        <v>11</v>
      </c>
      <c r="B29" s="214"/>
      <c r="C29" s="214"/>
      <c r="D29" s="214"/>
      <c r="E29" s="214"/>
      <c r="H29" s="48">
        <f>SUMIF(ДоговораГПХ!B$9:B$46,B29,ДоговораГПХ!D$9:D$47)</f>
        <v>0</v>
      </c>
      <c r="J29" s="48">
        <f>SUMIF(ДоговораГПХ!B$9:B$46,B29,ДоговораГПХ!P$9:P$46)</f>
        <v>0</v>
      </c>
      <c r="K29" s="48">
        <f>SUMIF(ДоговораГПХ!B$9:B$46,B29,ДоговораГПХ!H$9:H$46)</f>
        <v>0</v>
      </c>
      <c r="L29" s="48">
        <f>SUMIF(ДоговораГПХ!B$9:B$46,B29,ДоговораГПХ!AG$9:AG$46)</f>
        <v>0</v>
      </c>
      <c r="N29" s="48">
        <f>SUMIF(ДоговораГПХ!B$9:B$46,B29,ДоговораГПХ!Q$9:Q$46)</f>
        <v>0</v>
      </c>
      <c r="P29" s="214"/>
      <c r="Q29" s="48">
        <f>SUMIF(ДоговораГПХ!B$9:B$46,ДоговораГПХ!B19,ДоговораГПХ!T$9:T$46)</f>
        <v>0</v>
      </c>
      <c r="S29" s="48">
        <f>SUMIF(ДоговораГПХ!B$9:B$46,B29,ДоговораГПХ!V$9:V$46)</f>
        <v>0</v>
      </c>
      <c r="T29" s="48">
        <f>SUMIF(ДоговораГПХ!B$9:B$46,B29,ДоговораГПХ!AA$9:AA$46)</f>
        <v>0</v>
      </c>
      <c r="AA29" s="234"/>
    </row>
    <row r="30" spans="1:30" x14ac:dyDescent="0.25">
      <c r="A30" s="48">
        <v>12</v>
      </c>
      <c r="B30" s="214"/>
      <c r="C30" s="214"/>
      <c r="D30" s="214"/>
      <c r="E30" s="214"/>
      <c r="H30" s="48">
        <f>SUMIF(ДоговораГПХ!B$9:B$46,B30,ДоговораГПХ!D$9:D$47)</f>
        <v>0</v>
      </c>
      <c r="J30" s="48">
        <f>SUMIF(ДоговораГПХ!B$9:B$46,B30,ДоговораГПХ!P$9:P$46)</f>
        <v>0</v>
      </c>
      <c r="K30" s="48">
        <f>SUMIF(ДоговораГПХ!B$9:B$46,B30,ДоговораГПХ!H$9:H$46)</f>
        <v>0</v>
      </c>
      <c r="L30" s="48">
        <f>SUMIF(ДоговораГПХ!B$9:B$46,B30,ДоговораГПХ!AG$9:AG$46)</f>
        <v>0</v>
      </c>
      <c r="N30" s="48">
        <f>SUMIF(ДоговораГПХ!B$9:B$46,B30,ДоговораГПХ!Q$9:Q$46)</f>
        <v>0</v>
      </c>
      <c r="P30" s="214"/>
      <c r="Q30" s="48">
        <f>SUMIF(ДоговораГПХ!B$9:B$46,ДоговораГПХ!B20,ДоговораГПХ!T$9:T$46)</f>
        <v>0</v>
      </c>
      <c r="S30" s="48">
        <f>SUMIF(ДоговораГПХ!B$9:B$46,B30,ДоговораГПХ!V$9:V$46)</f>
        <v>0</v>
      </c>
      <c r="T30" s="48">
        <f>SUMIF(ДоговораГПХ!B$9:B$46,B30,ДоговораГПХ!AA$9:AA$46)</f>
        <v>0</v>
      </c>
      <c r="AA30" s="234"/>
    </row>
    <row r="31" spans="1:30" x14ac:dyDescent="0.25">
      <c r="B31" s="209"/>
      <c r="C31" s="209"/>
      <c r="D31" s="214"/>
      <c r="E31" s="214"/>
      <c r="AA31" s="234"/>
    </row>
    <row r="32" spans="1:30" x14ac:dyDescent="0.25">
      <c r="B32" s="232" t="s">
        <v>277</v>
      </c>
      <c r="H32" s="232">
        <f>SUM(H19:H31)</f>
        <v>250000</v>
      </c>
      <c r="I32" s="232"/>
      <c r="J32" s="232">
        <f t="shared" ref="J32:AC32" si="2">SUM(J19:J31)</f>
        <v>0</v>
      </c>
      <c r="K32" s="232">
        <f t="shared" si="2"/>
        <v>0</v>
      </c>
      <c r="L32" s="232">
        <f t="shared" si="2"/>
        <v>0</v>
      </c>
      <c r="M32" s="232"/>
      <c r="N32" s="232">
        <f t="shared" si="2"/>
        <v>0</v>
      </c>
      <c r="O32" s="232"/>
      <c r="P32" s="232">
        <f t="shared" si="2"/>
        <v>0</v>
      </c>
      <c r="Q32" s="232">
        <f t="shared" si="2"/>
        <v>25000</v>
      </c>
      <c r="R32" s="232"/>
      <c r="S32" s="232">
        <f t="shared" si="2"/>
        <v>225000</v>
      </c>
      <c r="T32" s="232">
        <f t="shared" si="2"/>
        <v>25000</v>
      </c>
      <c r="U32" s="232">
        <f t="shared" si="2"/>
        <v>0</v>
      </c>
      <c r="V32" s="232">
        <f t="shared" si="2"/>
        <v>0</v>
      </c>
      <c r="W32" s="232">
        <f t="shared" si="2"/>
        <v>0</v>
      </c>
      <c r="X32" s="232">
        <f t="shared" si="2"/>
        <v>0</v>
      </c>
      <c r="Y32" s="232">
        <f t="shared" si="2"/>
        <v>0</v>
      </c>
      <c r="Z32" s="232">
        <f>SUM(Z19:Z31)</f>
        <v>0</v>
      </c>
      <c r="AA32" s="232">
        <f>SUM(AA19:AA31)</f>
        <v>0</v>
      </c>
      <c r="AB32" s="232">
        <f t="shared" si="2"/>
        <v>0</v>
      </c>
      <c r="AC32" s="232">
        <f t="shared" si="2"/>
        <v>0</v>
      </c>
      <c r="AD32" s="232">
        <f>SUM(AD19:AD31)</f>
        <v>0</v>
      </c>
    </row>
    <row r="33" spans="2:30" x14ac:dyDescent="0.25">
      <c r="B33" s="48" t="s">
        <v>278</v>
      </c>
      <c r="H33" s="48">
        <f>H32-ДоговораГПХ!D47</f>
        <v>0</v>
      </c>
      <c r="J33" s="48">
        <f>ДоговораГПХ!P47</f>
        <v>0</v>
      </c>
      <c r="K33" s="48">
        <f>K32-ДоговораГПХ!H47</f>
        <v>0</v>
      </c>
      <c r="L33" s="48">
        <f>L32-ДоговораГПХ!AG47</f>
        <v>0</v>
      </c>
      <c r="N33" s="48">
        <f>N32-ДоговораГПХ!Q47</f>
        <v>0</v>
      </c>
      <c r="Q33" s="48">
        <f>Q32-ДоговораГПХ!T47</f>
        <v>0</v>
      </c>
      <c r="S33" s="48">
        <f>S32-ДоговораГПХ!V47</f>
        <v>0</v>
      </c>
      <c r="T33" s="48">
        <f>T32-ДоговораГПХ!AA47</f>
        <v>0</v>
      </c>
    </row>
    <row r="34" spans="2:30" x14ac:dyDescent="0.25">
      <c r="B34" s="232" t="s">
        <v>279</v>
      </c>
      <c r="H34" s="232">
        <f>H16+H32</f>
        <v>250000</v>
      </c>
      <c r="I34" s="232"/>
      <c r="J34" s="232">
        <f t="shared" ref="J34:AC34" si="3">J16+J32</f>
        <v>0</v>
      </c>
      <c r="K34" s="232">
        <f t="shared" si="3"/>
        <v>0</v>
      </c>
      <c r="L34" s="232">
        <f t="shared" si="3"/>
        <v>0</v>
      </c>
      <c r="M34" s="232"/>
      <c r="N34" s="232">
        <f t="shared" si="3"/>
        <v>0</v>
      </c>
      <c r="O34" s="232"/>
      <c r="P34" s="232">
        <f t="shared" si="3"/>
        <v>0</v>
      </c>
      <c r="Q34" s="232">
        <f t="shared" si="3"/>
        <v>25000</v>
      </c>
      <c r="R34" s="232"/>
      <c r="S34" s="232">
        <f t="shared" si="3"/>
        <v>225000</v>
      </c>
      <c r="T34" s="288">
        <f t="shared" ref="T34:Z34" si="4">T16+T32</f>
        <v>25000</v>
      </c>
      <c r="U34" s="288">
        <f t="shared" si="4"/>
        <v>0</v>
      </c>
      <c r="V34" s="232">
        <f t="shared" si="4"/>
        <v>0</v>
      </c>
      <c r="W34" s="232">
        <f t="shared" si="4"/>
        <v>0</v>
      </c>
      <c r="X34" s="232">
        <f t="shared" si="4"/>
        <v>0</v>
      </c>
      <c r="Y34" s="232">
        <f t="shared" si="4"/>
        <v>0</v>
      </c>
      <c r="Z34" s="232">
        <f t="shared" si="4"/>
        <v>0</v>
      </c>
      <c r="AA34" s="232">
        <f t="shared" si="3"/>
        <v>0</v>
      </c>
      <c r="AB34" s="232">
        <f t="shared" si="3"/>
        <v>0</v>
      </c>
      <c r="AC34" s="232">
        <f t="shared" si="3"/>
        <v>0</v>
      </c>
      <c r="AD34" s="232">
        <f>AD16+AD32</f>
        <v>0</v>
      </c>
    </row>
    <row r="39" spans="2:30" x14ac:dyDescent="0.25">
      <c r="B39" s="48" t="s">
        <v>271</v>
      </c>
    </row>
    <row r="40" spans="2:30" x14ac:dyDescent="0.25">
      <c r="B40" s="48" t="s">
        <v>272</v>
      </c>
    </row>
    <row r="41" spans="2:30" x14ac:dyDescent="0.25">
      <c r="B41" s="235" t="s">
        <v>273</v>
      </c>
    </row>
    <row r="42" spans="2:30" x14ac:dyDescent="0.25">
      <c r="B42" s="235" t="s">
        <v>274</v>
      </c>
    </row>
    <row r="43" spans="2:30" x14ac:dyDescent="0.25">
      <c r="B43" s="235" t="s">
        <v>275</v>
      </c>
    </row>
    <row r="44" spans="2:30" x14ac:dyDescent="0.25">
      <c r="B44" s="235" t="s">
        <v>276</v>
      </c>
    </row>
  </sheetData>
  <mergeCells count="2">
    <mergeCell ref="A3:B3"/>
    <mergeCell ref="A18:B18"/>
  </mergeCells>
  <dataValidations count="1">
    <dataValidation type="list" allowBlank="1" showInputMessage="1" showErrorMessage="1" sqref="F4:F31 E16:E18" xr:uid="{00000000-0002-0000-0400-000000000000}">
      <formula1>$B$38:$B$44</formula1>
    </dataValidation>
  </dataValidations>
  <hyperlinks>
    <hyperlink ref="N1" r:id="rId1" display="http://online.zakon.kz/Document/?link_id=1006083227" xr:uid="{00000000-0004-0000-0400-000000000000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65"/>
  <sheetViews>
    <sheetView topLeftCell="A10" zoomScale="96" zoomScaleNormal="96" workbookViewId="0">
      <selection activeCell="G28" sqref="G28"/>
    </sheetView>
  </sheetViews>
  <sheetFormatPr defaultColWidth="9.109375" defaultRowHeight="13.2" x14ac:dyDescent="0.25"/>
  <cols>
    <col min="1" max="1" width="3.5546875" style="48" customWidth="1"/>
    <col min="2" max="2" width="24.109375" style="48" customWidth="1"/>
    <col min="3" max="3" width="14" style="48" customWidth="1"/>
    <col min="4" max="4" width="14.33203125" style="48" customWidth="1"/>
    <col min="5" max="5" width="13.33203125" style="48" customWidth="1"/>
    <col min="6" max="6" width="9.6640625" style="126" customWidth="1"/>
    <col min="7" max="8" width="12.5546875" style="48" customWidth="1"/>
    <col min="9" max="9" width="15" style="48" customWidth="1"/>
    <col min="10" max="10" width="12" style="48" customWidth="1"/>
    <col min="11" max="11" width="15" style="48" customWidth="1"/>
    <col min="12" max="12" width="14.44140625" style="48" customWidth="1"/>
    <col min="13" max="13" width="14" style="48" customWidth="1"/>
    <col min="14" max="14" width="13.6640625" style="48" customWidth="1"/>
    <col min="15" max="15" width="15.44140625" style="48" customWidth="1"/>
    <col min="16" max="16" width="13.5546875" style="48" customWidth="1"/>
    <col min="17" max="17" width="14.88671875" style="48" customWidth="1"/>
    <col min="18" max="18" width="16.5546875" style="48" customWidth="1"/>
    <col min="19" max="19" width="15.33203125" style="48" customWidth="1"/>
    <col min="20" max="16384" width="9.109375" style="48"/>
  </cols>
  <sheetData>
    <row r="1" spans="1:19" x14ac:dyDescent="0.25">
      <c r="A1" s="14" t="s">
        <v>116</v>
      </c>
      <c r="B1" s="15"/>
      <c r="C1" s="15"/>
      <c r="D1" s="15"/>
      <c r="E1" s="15"/>
      <c r="F1" s="37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x14ac:dyDescent="0.25">
      <c r="A2" s="16"/>
      <c r="B2" s="17"/>
      <c r="C2" s="17"/>
      <c r="D2" s="15"/>
      <c r="E2" s="15"/>
      <c r="F2" s="37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19.5" customHeight="1" x14ac:dyDescent="0.25">
      <c r="A3" s="91" t="s">
        <v>81</v>
      </c>
      <c r="B3" s="92" t="s">
        <v>102</v>
      </c>
      <c r="E3" s="305"/>
      <c r="F3" s="305"/>
      <c r="G3" s="93"/>
      <c r="H3" s="93"/>
      <c r="I3" s="94"/>
      <c r="J3" s="94"/>
      <c r="K3" s="94"/>
    </row>
    <row r="4" spans="1:19" x14ac:dyDescent="0.25">
      <c r="A4" s="91" t="s">
        <v>82</v>
      </c>
      <c r="B4" s="92" t="s">
        <v>103</v>
      </c>
      <c r="C4" s="48">
        <f>'200.00 200.01'!E10</f>
        <v>123123123</v>
      </c>
      <c r="E4" s="305"/>
      <c r="F4" s="305"/>
      <c r="G4" s="94"/>
      <c r="H4" s="94"/>
      <c r="I4" s="94"/>
      <c r="J4" s="94"/>
      <c r="K4" s="94"/>
    </row>
    <row r="5" spans="1:19" x14ac:dyDescent="0.25">
      <c r="A5" s="94"/>
      <c r="B5" s="15" t="s">
        <v>83</v>
      </c>
      <c r="E5" s="95"/>
      <c r="F5" s="37"/>
      <c r="G5" s="95"/>
      <c r="H5" s="95"/>
      <c r="I5" s="94"/>
      <c r="J5" s="94"/>
      <c r="K5" s="94"/>
    </row>
    <row r="6" spans="1:19" x14ac:dyDescent="0.25">
      <c r="A6" s="37" t="s">
        <v>84</v>
      </c>
      <c r="B6" s="94" t="s">
        <v>104</v>
      </c>
      <c r="E6" s="305"/>
      <c r="F6" s="305"/>
      <c r="G6" s="94"/>
      <c r="H6" s="94"/>
      <c r="I6" s="94"/>
      <c r="J6" s="94"/>
      <c r="K6" s="94"/>
    </row>
    <row r="7" spans="1:19" x14ac:dyDescent="0.25">
      <c r="A7" s="37" t="s">
        <v>85</v>
      </c>
      <c r="B7" s="94" t="s">
        <v>105</v>
      </c>
      <c r="C7" s="222">
        <f>'200.00 200.01'!J12</f>
        <v>1</v>
      </c>
      <c r="E7" s="94" t="s">
        <v>107</v>
      </c>
      <c r="F7" s="95">
        <f>'200.00 200.01'!M12</f>
        <v>2024</v>
      </c>
      <c r="G7" s="94"/>
      <c r="H7" s="94"/>
      <c r="I7" s="94"/>
      <c r="J7" s="94"/>
      <c r="K7" s="94"/>
    </row>
    <row r="8" spans="1:19" x14ac:dyDescent="0.25">
      <c r="A8" s="37"/>
      <c r="B8" s="94"/>
      <c r="E8" s="94"/>
      <c r="F8" s="37"/>
      <c r="G8" s="94"/>
      <c r="H8" s="94"/>
      <c r="I8" s="94"/>
      <c r="J8" s="94"/>
      <c r="K8" s="94"/>
    </row>
    <row r="9" spans="1:19" ht="15" customHeight="1" x14ac:dyDescent="0.25">
      <c r="A9" s="320" t="s">
        <v>117</v>
      </c>
      <c r="B9" s="318" t="s">
        <v>118</v>
      </c>
      <c r="C9" s="320" t="s">
        <v>119</v>
      </c>
      <c r="D9" s="319" t="s">
        <v>120</v>
      </c>
      <c r="E9" s="319" t="s">
        <v>226</v>
      </c>
      <c r="F9" s="319" t="s">
        <v>121</v>
      </c>
      <c r="G9" s="318" t="s">
        <v>122</v>
      </c>
      <c r="H9" s="319" t="s">
        <v>236</v>
      </c>
      <c r="I9" s="319" t="s">
        <v>123</v>
      </c>
      <c r="J9" s="319" t="s">
        <v>124</v>
      </c>
      <c r="K9" s="318" t="s">
        <v>125</v>
      </c>
      <c r="L9" s="318"/>
      <c r="M9" s="318"/>
      <c r="N9" s="318"/>
      <c r="O9" s="18"/>
      <c r="P9" s="318" t="s">
        <v>126</v>
      </c>
      <c r="Q9" s="318"/>
      <c r="R9" s="318"/>
      <c r="S9" s="318"/>
    </row>
    <row r="10" spans="1:19" ht="78.75" customHeight="1" x14ac:dyDescent="0.25">
      <c r="A10" s="320"/>
      <c r="B10" s="318"/>
      <c r="C10" s="320"/>
      <c r="D10" s="319"/>
      <c r="E10" s="319"/>
      <c r="F10" s="319"/>
      <c r="G10" s="318"/>
      <c r="H10" s="319"/>
      <c r="I10" s="319"/>
      <c r="J10" s="319"/>
      <c r="K10" s="19" t="s">
        <v>127</v>
      </c>
      <c r="L10" s="19" t="s">
        <v>128</v>
      </c>
      <c r="M10" s="19" t="s">
        <v>62</v>
      </c>
      <c r="N10" s="19" t="s">
        <v>129</v>
      </c>
      <c r="O10" s="19" t="s">
        <v>114</v>
      </c>
      <c r="P10" s="19" t="s">
        <v>130</v>
      </c>
      <c r="Q10" s="19" t="s">
        <v>131</v>
      </c>
      <c r="R10" s="19" t="s">
        <v>132</v>
      </c>
      <c r="S10" s="19" t="s">
        <v>133</v>
      </c>
    </row>
    <row r="11" spans="1:19" x14ac:dyDescent="0.25">
      <c r="A11" s="20">
        <v>1</v>
      </c>
      <c r="B11" s="20">
        <v>2</v>
      </c>
      <c r="C11" s="20">
        <v>3</v>
      </c>
      <c r="D11" s="20">
        <v>4</v>
      </c>
      <c r="E11" s="20">
        <v>5</v>
      </c>
      <c r="F11" s="38">
        <v>6</v>
      </c>
      <c r="G11" s="20">
        <v>7</v>
      </c>
      <c r="H11" s="20"/>
      <c r="I11" s="20">
        <v>8</v>
      </c>
      <c r="J11" s="20">
        <v>9</v>
      </c>
      <c r="K11" s="20">
        <v>10</v>
      </c>
      <c r="L11" s="20">
        <v>11</v>
      </c>
      <c r="M11" s="20">
        <v>12</v>
      </c>
      <c r="N11" s="20">
        <v>13</v>
      </c>
      <c r="O11" s="20">
        <v>14</v>
      </c>
      <c r="P11" s="20">
        <v>15</v>
      </c>
      <c r="Q11" s="20">
        <v>16</v>
      </c>
      <c r="R11" s="20">
        <v>17</v>
      </c>
      <c r="S11" s="20">
        <v>18</v>
      </c>
    </row>
    <row r="12" spans="1:19" ht="79.2" x14ac:dyDescent="0.25">
      <c r="A12" s="20"/>
      <c r="B12" s="20"/>
      <c r="C12" s="20"/>
      <c r="D12" s="20"/>
      <c r="E12" s="20"/>
      <c r="F12" s="38"/>
      <c r="G12" s="21" t="s">
        <v>240</v>
      </c>
      <c r="H12" s="21"/>
      <c r="I12" s="41" t="s">
        <v>134</v>
      </c>
      <c r="J12" s="20" t="s">
        <v>135</v>
      </c>
      <c r="K12" s="102" t="s">
        <v>111</v>
      </c>
      <c r="L12" s="20" t="s">
        <v>136</v>
      </c>
      <c r="M12" s="21" t="s">
        <v>137</v>
      </c>
      <c r="N12" s="41" t="s">
        <v>138</v>
      </c>
      <c r="O12" s="41" t="s">
        <v>228</v>
      </c>
      <c r="P12" s="102" t="s">
        <v>111</v>
      </c>
      <c r="Q12" s="20" t="s">
        <v>139</v>
      </c>
      <c r="R12" s="41" t="s">
        <v>140</v>
      </c>
      <c r="S12" s="41" t="s">
        <v>141</v>
      </c>
    </row>
    <row r="13" spans="1:19" x14ac:dyDescent="0.25">
      <c r="A13" s="20"/>
      <c r="B13" s="20" t="s">
        <v>206</v>
      </c>
      <c r="C13" s="20"/>
      <c r="D13" s="20"/>
      <c r="E13" s="20"/>
      <c r="F13" s="38"/>
      <c r="G13" s="21"/>
      <c r="H13" s="21"/>
      <c r="I13" s="20"/>
      <c r="J13" s="211">
        <v>0.1</v>
      </c>
      <c r="K13" s="102"/>
      <c r="L13" s="20"/>
      <c r="M13" s="21"/>
      <c r="N13" s="20"/>
      <c r="O13" s="20"/>
      <c r="P13" s="102"/>
      <c r="Q13" s="20"/>
      <c r="R13" s="20"/>
      <c r="S13" s="20"/>
    </row>
    <row r="14" spans="1:19" x14ac:dyDescent="0.25">
      <c r="A14" s="22"/>
      <c r="B14" s="23" t="s">
        <v>108</v>
      </c>
      <c r="C14" s="24"/>
      <c r="D14" s="25">
        <f t="shared" ref="D14:I14" si="0">SUM(D15:D26)</f>
        <v>0</v>
      </c>
      <c r="E14" s="39">
        <f t="shared" si="0"/>
        <v>0</v>
      </c>
      <c r="F14" s="34">
        <f t="shared" si="0"/>
        <v>0</v>
      </c>
      <c r="G14" s="212">
        <f t="shared" si="0"/>
        <v>0</v>
      </c>
      <c r="H14" s="212">
        <f t="shared" si="0"/>
        <v>0</v>
      </c>
      <c r="I14" s="212">
        <f t="shared" si="0"/>
        <v>0</v>
      </c>
      <c r="J14" s="212">
        <f>SUM(J15:J26)</f>
        <v>0</v>
      </c>
      <c r="K14" s="25">
        <f t="shared" ref="K14:S14" si="1">SUM(K15:K26)</f>
        <v>0</v>
      </c>
      <c r="L14" s="25">
        <f t="shared" si="1"/>
        <v>0</v>
      </c>
      <c r="M14" s="25">
        <f t="shared" si="1"/>
        <v>0</v>
      </c>
      <c r="N14" s="25">
        <f t="shared" si="1"/>
        <v>0</v>
      </c>
      <c r="O14" s="25"/>
      <c r="P14" s="34">
        <f>SUM(P15:P26)</f>
        <v>0</v>
      </c>
      <c r="Q14" s="25">
        <f t="shared" si="1"/>
        <v>0</v>
      </c>
      <c r="R14" s="34">
        <f>SUM(R15:R26)</f>
        <v>0</v>
      </c>
      <c r="S14" s="25">
        <f t="shared" si="1"/>
        <v>0</v>
      </c>
    </row>
    <row r="15" spans="1:19" ht="14.4" customHeight="1" x14ac:dyDescent="0.25">
      <c r="A15" s="123">
        <v>1</v>
      </c>
      <c r="B15" s="124" t="str">
        <f>РегистрОПВ!B14</f>
        <v>Первый</v>
      </c>
      <c r="C15" s="57"/>
      <c r="D15" s="26">
        <f>РегистрОПВ!E14</f>
        <v>0</v>
      </c>
      <c r="E15" s="40"/>
      <c r="F15" s="35"/>
      <c r="G15" s="56">
        <f>РегистрОПВ!L14</f>
        <v>0</v>
      </c>
      <c r="H15" s="56">
        <f>РегистрОПВ!T14</f>
        <v>0</v>
      </c>
      <c r="I15" s="56">
        <f>IF((D15-E15-F15-G15-H15)&gt;0,(D15-E15-F15-G15-H15),0)</f>
        <v>0</v>
      </c>
      <c r="J15" s="56">
        <f>IF(D15&lt;=Описание!E$26*25,I15*J$13/10,I15*J$13)</f>
        <v>0</v>
      </c>
      <c r="K15" s="29"/>
      <c r="L15" s="54">
        <f>D15-G15-J15-H15</f>
        <v>0</v>
      </c>
      <c r="M15" s="29"/>
      <c r="N15" s="54">
        <f>K15+L15-M15</f>
        <v>0</v>
      </c>
      <c r="O15" s="218">
        <f>IF(D15=0,0,M15/(K15+L15))</f>
        <v>0</v>
      </c>
      <c r="P15" s="285"/>
      <c r="Q15" s="54">
        <f>J15</f>
        <v>0</v>
      </c>
      <c r="R15" s="290">
        <f>IF(N15&lt;=0,(P15+Q15),(P15+Q15)*O15)</f>
        <v>0</v>
      </c>
      <c r="S15" s="54">
        <f>P15+Q15-R15</f>
        <v>0</v>
      </c>
    </row>
    <row r="16" spans="1:19" ht="14.4" customHeight="1" x14ac:dyDescent="0.25">
      <c r="A16" s="123">
        <v>2</v>
      </c>
      <c r="B16" s="124" t="str">
        <f>РегистрОПВ!B15</f>
        <v>Второй</v>
      </c>
      <c r="C16" s="57"/>
      <c r="D16" s="26">
        <f>РегистрОПВ!E15</f>
        <v>0</v>
      </c>
      <c r="E16" s="40"/>
      <c r="F16" s="35"/>
      <c r="G16" s="56">
        <f>РегистрОПВ!L15</f>
        <v>0</v>
      </c>
      <c r="H16" s="56">
        <f>РегистрОПВ!T15</f>
        <v>0</v>
      </c>
      <c r="I16" s="56">
        <f t="shared" ref="I16:I26" si="2">IF((D16-E16-F16-G16-H16)&gt;0,(D16-E16-F16-G16-H16),0)</f>
        <v>0</v>
      </c>
      <c r="J16" s="56">
        <f>IF(D16&lt;=Описание!E$26*25,I16*J$13/10,I16*J$13)</f>
        <v>0</v>
      </c>
      <c r="K16" s="29"/>
      <c r="L16" s="54">
        <f t="shared" ref="L16:L26" si="3">D16-G16-J16-H16</f>
        <v>0</v>
      </c>
      <c r="M16" s="29"/>
      <c r="N16" s="54">
        <f t="shared" ref="N16:N26" si="4">K16+L16-M16</f>
        <v>0</v>
      </c>
      <c r="O16" s="218">
        <f>IF(D16=0,0,M16/(K16+L16))</f>
        <v>0</v>
      </c>
      <c r="P16" s="57"/>
      <c r="Q16" s="54">
        <f>J16</f>
        <v>0</v>
      </c>
      <c r="R16" s="290">
        <f>IF(N16&lt;=0,(P16+Q16),(P16+Q16)*O16)</f>
        <v>0</v>
      </c>
      <c r="S16" s="54">
        <f t="shared" ref="S16:S26" si="5">P16+Q16-R16</f>
        <v>0</v>
      </c>
    </row>
    <row r="17" spans="1:19" ht="14.4" customHeight="1" x14ac:dyDescent="0.25">
      <c r="A17" s="123">
        <v>3</v>
      </c>
      <c r="B17" s="124" t="str">
        <f>РегистрОПВ!B16</f>
        <v>Третий</v>
      </c>
      <c r="C17" s="57"/>
      <c r="D17" s="26">
        <f>РегистрОПВ!E16</f>
        <v>0</v>
      </c>
      <c r="E17" s="125"/>
      <c r="F17" s="35"/>
      <c r="G17" s="56">
        <f>РегистрОПВ!L16</f>
        <v>0</v>
      </c>
      <c r="H17" s="56">
        <f>РегистрОПВ!T16</f>
        <v>0</v>
      </c>
      <c r="I17" s="56">
        <f t="shared" si="2"/>
        <v>0</v>
      </c>
      <c r="J17" s="56">
        <f>IF(D17&lt;=Описание!E$26*25,I17*J$13/10,I17*J$13)</f>
        <v>0</v>
      </c>
      <c r="K17" s="29"/>
      <c r="L17" s="54">
        <f t="shared" si="3"/>
        <v>0</v>
      </c>
      <c r="M17" s="29"/>
      <c r="N17" s="54">
        <f t="shared" si="4"/>
        <v>0</v>
      </c>
      <c r="O17" s="218">
        <f t="shared" ref="O17:O26" si="6">IF(D17=0,0,M17/(K17+L17))</f>
        <v>0</v>
      </c>
      <c r="P17" s="57"/>
      <c r="Q17" s="54">
        <f t="shared" ref="Q17:Q26" si="7">J17</f>
        <v>0</v>
      </c>
      <c r="R17" s="290">
        <f t="shared" ref="R17:R26" si="8">IF(N17&lt;=0,(P17+Q17),(P17+Q17)*O17)</f>
        <v>0</v>
      </c>
      <c r="S17" s="54">
        <f t="shared" si="5"/>
        <v>0</v>
      </c>
    </row>
    <row r="18" spans="1:19" ht="14.4" customHeight="1" x14ac:dyDescent="0.25">
      <c r="A18" s="123">
        <v>4</v>
      </c>
      <c r="B18" s="124" t="str">
        <f>РегистрОПВ!B17</f>
        <v>Четвертый</v>
      </c>
      <c r="C18" s="57"/>
      <c r="D18" s="26">
        <f>РегистрОПВ!E17</f>
        <v>0</v>
      </c>
      <c r="E18" s="125"/>
      <c r="F18" s="35"/>
      <c r="G18" s="56">
        <f>РегистрОПВ!L17</f>
        <v>0</v>
      </c>
      <c r="H18" s="56">
        <f>РегистрОПВ!T17</f>
        <v>0</v>
      </c>
      <c r="I18" s="56">
        <f t="shared" si="2"/>
        <v>0</v>
      </c>
      <c r="J18" s="56">
        <f>IF(D18&lt;=Описание!E$26*25,I18*J$13/10,I18*J$13)</f>
        <v>0</v>
      </c>
      <c r="K18" s="29"/>
      <c r="L18" s="54">
        <f t="shared" si="3"/>
        <v>0</v>
      </c>
      <c r="M18" s="29"/>
      <c r="N18" s="54">
        <f t="shared" si="4"/>
        <v>0</v>
      </c>
      <c r="O18" s="218">
        <f t="shared" si="6"/>
        <v>0</v>
      </c>
      <c r="P18" s="57"/>
      <c r="Q18" s="54">
        <f t="shared" si="7"/>
        <v>0</v>
      </c>
      <c r="R18" s="290">
        <f t="shared" si="8"/>
        <v>0</v>
      </c>
      <c r="S18" s="54">
        <f t="shared" si="5"/>
        <v>0</v>
      </c>
    </row>
    <row r="19" spans="1:19" ht="14.4" customHeight="1" x14ac:dyDescent="0.25">
      <c r="A19" s="123">
        <v>5</v>
      </c>
      <c r="B19" s="124" t="str">
        <f>РегистрОПВ!B18</f>
        <v>Пятый</v>
      </c>
      <c r="C19" s="57"/>
      <c r="D19" s="26">
        <f>РегистрОПВ!E18</f>
        <v>0</v>
      </c>
      <c r="E19" s="125"/>
      <c r="F19" s="35"/>
      <c r="G19" s="56">
        <f>РегистрОПВ!L18</f>
        <v>0</v>
      </c>
      <c r="H19" s="56">
        <f>РегистрОПВ!T18</f>
        <v>0</v>
      </c>
      <c r="I19" s="56">
        <f t="shared" si="2"/>
        <v>0</v>
      </c>
      <c r="J19" s="56">
        <f>IF(D19&lt;=Описание!E$26*25,I19*J$13/10,I19*J$13)</f>
        <v>0</v>
      </c>
      <c r="K19" s="29"/>
      <c r="L19" s="54">
        <f t="shared" si="3"/>
        <v>0</v>
      </c>
      <c r="M19" s="29"/>
      <c r="N19" s="54">
        <f t="shared" si="4"/>
        <v>0</v>
      </c>
      <c r="O19" s="218">
        <f t="shared" si="6"/>
        <v>0</v>
      </c>
      <c r="P19" s="57"/>
      <c r="Q19" s="54">
        <f t="shared" si="7"/>
        <v>0</v>
      </c>
      <c r="R19" s="290">
        <f t="shared" si="8"/>
        <v>0</v>
      </c>
      <c r="S19" s="54">
        <f t="shared" si="5"/>
        <v>0</v>
      </c>
    </row>
    <row r="20" spans="1:19" ht="14.4" customHeight="1" x14ac:dyDescent="0.25">
      <c r="A20" s="123">
        <v>6</v>
      </c>
      <c r="B20" s="124" t="str">
        <f>РегистрОПВ!B19</f>
        <v>Шестой</v>
      </c>
      <c r="C20" s="57"/>
      <c r="D20" s="26">
        <f>РегистрОПВ!E19</f>
        <v>0</v>
      </c>
      <c r="E20" s="57"/>
      <c r="F20" s="35"/>
      <c r="G20" s="56">
        <f>РегистрОПВ!L19</f>
        <v>0</v>
      </c>
      <c r="H20" s="56">
        <f>РегистрОПВ!T19</f>
        <v>0</v>
      </c>
      <c r="I20" s="56">
        <f t="shared" si="2"/>
        <v>0</v>
      </c>
      <c r="J20" s="56">
        <f>IF(D20&lt;=Описание!E$26*25,I20*J$13/10,I20*J$13)</f>
        <v>0</v>
      </c>
      <c r="K20" s="29"/>
      <c r="L20" s="54">
        <f t="shared" si="3"/>
        <v>0</v>
      </c>
      <c r="M20" s="29"/>
      <c r="N20" s="54">
        <f t="shared" si="4"/>
        <v>0</v>
      </c>
      <c r="O20" s="218">
        <f t="shared" si="6"/>
        <v>0</v>
      </c>
      <c r="P20" s="57"/>
      <c r="Q20" s="54">
        <f>J20</f>
        <v>0</v>
      </c>
      <c r="R20" s="290">
        <f t="shared" si="8"/>
        <v>0</v>
      </c>
      <c r="S20" s="54">
        <f t="shared" si="5"/>
        <v>0</v>
      </c>
    </row>
    <row r="21" spans="1:19" ht="14.4" customHeight="1" x14ac:dyDescent="0.25">
      <c r="A21" s="123">
        <v>7</v>
      </c>
      <c r="B21" s="124">
        <f>РегистрОПВ!B20</f>
        <v>0</v>
      </c>
      <c r="C21" s="57"/>
      <c r="D21" s="26">
        <f>РегистрОПВ!E20</f>
        <v>0</v>
      </c>
      <c r="E21" s="57"/>
      <c r="F21" s="35"/>
      <c r="G21" s="56">
        <f>РегистрОПВ!L20</f>
        <v>0</v>
      </c>
      <c r="H21" s="56">
        <f>РегистрОПВ!T20</f>
        <v>0</v>
      </c>
      <c r="I21" s="56">
        <f>IF((D21-E21-F21-G21-H21)&gt;0,(D21-E21-F21-G21-H21),0)</f>
        <v>0</v>
      </c>
      <c r="J21" s="56">
        <f>IF(D21&lt;=Описание!E$26*25,I21*J$13/10,I21*J$13)</f>
        <v>0</v>
      </c>
      <c r="K21" s="30"/>
      <c r="L21" s="54">
        <f t="shared" si="3"/>
        <v>0</v>
      </c>
      <c r="M21" s="29"/>
      <c r="N21" s="54">
        <f>K21+L21-M21</f>
        <v>0</v>
      </c>
      <c r="O21" s="218">
        <f t="shared" si="6"/>
        <v>0</v>
      </c>
      <c r="P21" s="57"/>
      <c r="Q21" s="54">
        <f t="shared" si="7"/>
        <v>0</v>
      </c>
      <c r="R21" s="290">
        <f t="shared" si="8"/>
        <v>0</v>
      </c>
      <c r="S21" s="54">
        <f t="shared" si="5"/>
        <v>0</v>
      </c>
    </row>
    <row r="22" spans="1:19" ht="14.4" customHeight="1" x14ac:dyDescent="0.25">
      <c r="A22" s="123">
        <v>8</v>
      </c>
      <c r="B22" s="124">
        <f>РегистрОПВ!B21</f>
        <v>0</v>
      </c>
      <c r="C22" s="57"/>
      <c r="D22" s="26">
        <f>РегистрОПВ!E21</f>
        <v>0</v>
      </c>
      <c r="E22" s="57"/>
      <c r="F22" s="35"/>
      <c r="G22" s="56">
        <f>РегистрОПВ!L21</f>
        <v>0</v>
      </c>
      <c r="H22" s="56">
        <f>РегистрОПВ!T21</f>
        <v>0</v>
      </c>
      <c r="I22" s="56">
        <f t="shared" si="2"/>
        <v>0</v>
      </c>
      <c r="J22" s="56">
        <f>IF(D22&lt;=Описание!E$26*25,I22*J$13/10,I22*J$13)</f>
        <v>0</v>
      </c>
      <c r="K22" s="29"/>
      <c r="L22" s="54">
        <f t="shared" si="3"/>
        <v>0</v>
      </c>
      <c r="M22" s="29"/>
      <c r="N22" s="54">
        <f t="shared" si="4"/>
        <v>0</v>
      </c>
      <c r="O22" s="218">
        <f t="shared" si="6"/>
        <v>0</v>
      </c>
      <c r="P22" s="57"/>
      <c r="Q22" s="54">
        <f t="shared" si="7"/>
        <v>0</v>
      </c>
      <c r="R22" s="290">
        <f t="shared" si="8"/>
        <v>0</v>
      </c>
      <c r="S22" s="54">
        <f t="shared" si="5"/>
        <v>0</v>
      </c>
    </row>
    <row r="23" spans="1:19" ht="14.4" customHeight="1" x14ac:dyDescent="0.25">
      <c r="A23" s="123">
        <v>9</v>
      </c>
      <c r="B23" s="124">
        <f>РегистрОПВ!B22</f>
        <v>0</v>
      </c>
      <c r="C23" s="57"/>
      <c r="D23" s="26">
        <f>РегистрОПВ!E22</f>
        <v>0</v>
      </c>
      <c r="E23" s="57"/>
      <c r="F23" s="35"/>
      <c r="G23" s="56">
        <f>РегистрОПВ!L22</f>
        <v>0</v>
      </c>
      <c r="H23" s="56">
        <f>РегистрОПВ!T22</f>
        <v>0</v>
      </c>
      <c r="I23" s="56">
        <f t="shared" si="2"/>
        <v>0</v>
      </c>
      <c r="J23" s="56">
        <f>IF(D23&lt;=Описание!E$26*25,I23*J$13/10,I23*J$13)</f>
        <v>0</v>
      </c>
      <c r="K23" s="29"/>
      <c r="L23" s="54">
        <f t="shared" si="3"/>
        <v>0</v>
      </c>
      <c r="M23" s="29"/>
      <c r="N23" s="54">
        <f t="shared" si="4"/>
        <v>0</v>
      </c>
      <c r="O23" s="218">
        <f t="shared" si="6"/>
        <v>0</v>
      </c>
      <c r="P23" s="57"/>
      <c r="Q23" s="54">
        <f t="shared" si="7"/>
        <v>0</v>
      </c>
      <c r="R23" s="290">
        <f t="shared" si="8"/>
        <v>0</v>
      </c>
      <c r="S23" s="54">
        <f t="shared" si="5"/>
        <v>0</v>
      </c>
    </row>
    <row r="24" spans="1:19" ht="14.4" customHeight="1" x14ac:dyDescent="0.25">
      <c r="A24" s="123">
        <v>10</v>
      </c>
      <c r="B24" s="124">
        <f>РегистрОПВ!B23</f>
        <v>0</v>
      </c>
      <c r="C24" s="57"/>
      <c r="D24" s="26">
        <f>РегистрОПВ!E23</f>
        <v>0</v>
      </c>
      <c r="E24" s="31"/>
      <c r="F24" s="35"/>
      <c r="G24" s="56">
        <f>РегистрОПВ!L23</f>
        <v>0</v>
      </c>
      <c r="H24" s="56">
        <f>РегистрОПВ!T23</f>
        <v>0</v>
      </c>
      <c r="I24" s="56">
        <f t="shared" si="2"/>
        <v>0</v>
      </c>
      <c r="J24" s="56">
        <f>IF(D24&lt;=Описание!E$26*25,I24*J$13/10,I24*J$13)</f>
        <v>0</v>
      </c>
      <c r="K24" s="29"/>
      <c r="L24" s="54">
        <f t="shared" si="3"/>
        <v>0</v>
      </c>
      <c r="M24" s="29"/>
      <c r="N24" s="54">
        <f t="shared" si="4"/>
        <v>0</v>
      </c>
      <c r="O24" s="218">
        <f t="shared" si="6"/>
        <v>0</v>
      </c>
      <c r="P24" s="285"/>
      <c r="Q24" s="54">
        <f t="shared" si="7"/>
        <v>0</v>
      </c>
      <c r="R24" s="290">
        <f t="shared" si="8"/>
        <v>0</v>
      </c>
      <c r="S24" s="54">
        <f t="shared" si="5"/>
        <v>0</v>
      </c>
    </row>
    <row r="25" spans="1:19" ht="14.4" customHeight="1" x14ac:dyDescent="0.25">
      <c r="A25" s="123">
        <v>11</v>
      </c>
      <c r="B25" s="124">
        <f>РегистрОПВ!B24</f>
        <v>0</v>
      </c>
      <c r="C25" s="57"/>
      <c r="D25" s="26">
        <f>РегистрОПВ!E24</f>
        <v>0</v>
      </c>
      <c r="E25" s="119"/>
      <c r="F25" s="35"/>
      <c r="G25" s="56">
        <f>РегистрОПВ!L24</f>
        <v>0</v>
      </c>
      <c r="H25" s="56">
        <f>РегистрОПВ!T24</f>
        <v>0</v>
      </c>
      <c r="I25" s="56">
        <f t="shared" si="2"/>
        <v>0</v>
      </c>
      <c r="J25" s="56">
        <f>IF(D25&lt;=Описание!E$26*25,I25*J$13/10,I25*J$13)</f>
        <v>0</v>
      </c>
      <c r="K25" s="29"/>
      <c r="L25" s="54">
        <f t="shared" si="3"/>
        <v>0</v>
      </c>
      <c r="M25" s="29"/>
      <c r="N25" s="54">
        <f t="shared" si="4"/>
        <v>0</v>
      </c>
      <c r="O25" s="218">
        <f t="shared" si="6"/>
        <v>0</v>
      </c>
      <c r="P25" s="57"/>
      <c r="Q25" s="54">
        <f t="shared" si="7"/>
        <v>0</v>
      </c>
      <c r="R25" s="290">
        <f t="shared" si="8"/>
        <v>0</v>
      </c>
      <c r="S25" s="54">
        <f t="shared" si="5"/>
        <v>0</v>
      </c>
    </row>
    <row r="26" spans="1:19" x14ac:dyDescent="0.25">
      <c r="A26" s="123">
        <v>12</v>
      </c>
      <c r="B26" s="124">
        <f>РегистрОПВ!B25</f>
        <v>0</v>
      </c>
      <c r="C26" s="57"/>
      <c r="D26" s="26">
        <f>РегистрОПВ!E25</f>
        <v>0</v>
      </c>
      <c r="E26" s="31"/>
      <c r="F26" s="36"/>
      <c r="G26" s="56">
        <f>РегистрОПВ!L25</f>
        <v>0</v>
      </c>
      <c r="H26" s="56">
        <f>РегистрОПВ!T25</f>
        <v>0</v>
      </c>
      <c r="I26" s="56">
        <f t="shared" si="2"/>
        <v>0</v>
      </c>
      <c r="J26" s="56">
        <f>IF(D26&lt;=Описание!E$26*25,I26*J$13/10,I26*J$13)</f>
        <v>0</v>
      </c>
      <c r="K26" s="31"/>
      <c r="L26" s="54">
        <f t="shared" si="3"/>
        <v>0</v>
      </c>
      <c r="M26" s="31"/>
      <c r="N26" s="54">
        <f t="shared" si="4"/>
        <v>0</v>
      </c>
      <c r="O26" s="218">
        <f t="shared" si="6"/>
        <v>0</v>
      </c>
      <c r="P26" s="285"/>
      <c r="Q26" s="54">
        <f t="shared" si="7"/>
        <v>0</v>
      </c>
      <c r="R26" s="290">
        <f t="shared" si="8"/>
        <v>0</v>
      </c>
      <c r="S26" s="54">
        <f t="shared" si="5"/>
        <v>0</v>
      </c>
    </row>
    <row r="27" spans="1:19" x14ac:dyDescent="0.25">
      <c r="A27" s="22"/>
      <c r="B27" s="33" t="s">
        <v>109</v>
      </c>
      <c r="C27" s="24"/>
      <c r="D27" s="25">
        <f t="shared" ref="D27:I27" si="9">SUM(D28:D39)</f>
        <v>0</v>
      </c>
      <c r="E27" s="25">
        <f t="shared" si="9"/>
        <v>0</v>
      </c>
      <c r="F27" s="34">
        <f t="shared" si="9"/>
        <v>0</v>
      </c>
      <c r="G27" s="212">
        <f t="shared" si="9"/>
        <v>0</v>
      </c>
      <c r="H27" s="212">
        <f t="shared" si="9"/>
        <v>0</v>
      </c>
      <c r="I27" s="212">
        <f t="shared" si="9"/>
        <v>0</v>
      </c>
      <c r="J27" s="212">
        <f>SUM(J28:J39)</f>
        <v>0</v>
      </c>
      <c r="K27" s="25">
        <f t="shared" ref="K27:S27" si="10">SUM(K28:K39)</f>
        <v>0</v>
      </c>
      <c r="L27" s="25">
        <f t="shared" si="10"/>
        <v>0</v>
      </c>
      <c r="M27" s="25">
        <f t="shared" si="10"/>
        <v>0</v>
      </c>
      <c r="N27" s="25">
        <f t="shared" si="10"/>
        <v>0</v>
      </c>
      <c r="O27" s="25"/>
      <c r="P27" s="25">
        <f t="shared" si="10"/>
        <v>0</v>
      </c>
      <c r="Q27" s="25">
        <f>SUM(Q28:Q39)</f>
        <v>0</v>
      </c>
      <c r="R27" s="34">
        <f t="shared" si="10"/>
        <v>0</v>
      </c>
      <c r="S27" s="25">
        <f t="shared" si="10"/>
        <v>0</v>
      </c>
    </row>
    <row r="28" spans="1:19" x14ac:dyDescent="0.25">
      <c r="A28" s="123">
        <v>1</v>
      </c>
      <c r="B28" s="124" t="str">
        <f>РегистрОПВ!B27</f>
        <v>Первый</v>
      </c>
      <c r="C28" s="57"/>
      <c r="D28" s="26">
        <f>РегистрОПВ!E27</f>
        <v>0</v>
      </c>
      <c r="E28" s="27"/>
      <c r="F28" s="35"/>
      <c r="G28" s="56">
        <f>РегистрОПВ!L27</f>
        <v>0</v>
      </c>
      <c r="H28" s="56">
        <f>РегистрОПВ!T27</f>
        <v>0</v>
      </c>
      <c r="I28" s="56">
        <f>IF((D28-E28-F28-G28-H28)&gt;0,(D28-E28-F28-G28-H28),0)</f>
        <v>0</v>
      </c>
      <c r="J28" s="56">
        <f>IF(D28&lt;=Описание!E$26*25,I28*J$13/10,I28*J$13)</f>
        <v>0</v>
      </c>
      <c r="K28" s="29"/>
      <c r="L28" s="54">
        <f>D28-G28-J28-H28</f>
        <v>0</v>
      </c>
      <c r="M28" s="205"/>
      <c r="N28" s="54">
        <f>K28+L28-M28</f>
        <v>0</v>
      </c>
      <c r="O28" s="218">
        <f t="shared" ref="O28:O39" si="11">IF(D28=0,0,M28/(K28+L28))</f>
        <v>0</v>
      </c>
      <c r="P28" s="31"/>
      <c r="Q28" s="54">
        <f>J28</f>
        <v>0</v>
      </c>
      <c r="R28" s="290">
        <f t="shared" ref="R28:R39" si="12">IF(N28&lt;=0,(P28+Q28),(P28+Q28)*O28)</f>
        <v>0</v>
      </c>
      <c r="S28" s="54">
        <f>P28+Q28-R28</f>
        <v>0</v>
      </c>
    </row>
    <row r="29" spans="1:19" x14ac:dyDescent="0.25">
      <c r="A29" s="123">
        <v>2</v>
      </c>
      <c r="B29" s="124" t="str">
        <f>РегистрОПВ!B28</f>
        <v>Второй</v>
      </c>
      <c r="C29" s="57"/>
      <c r="D29" s="26">
        <f>РегистрОПВ!E28</f>
        <v>0</v>
      </c>
      <c r="E29" s="27"/>
      <c r="F29" s="35"/>
      <c r="G29" s="56">
        <f>РегистрОПВ!L28</f>
        <v>0</v>
      </c>
      <c r="H29" s="56">
        <f>РегистрОПВ!T28</f>
        <v>0</v>
      </c>
      <c r="I29" s="56">
        <f t="shared" ref="I29:I39" si="13">IF((D29-E29-F29-G29-H29)&gt;0,(D29-E29-F29-G29-H29),0)</f>
        <v>0</v>
      </c>
      <c r="J29" s="56">
        <f>IF(D29&lt;=Описание!E$26*25,I29*J$13/10,I29*J$13)</f>
        <v>0</v>
      </c>
      <c r="K29" s="29"/>
      <c r="L29" s="54">
        <f t="shared" ref="L29:L39" si="14">D29-G29-J29-H29</f>
        <v>0</v>
      </c>
      <c r="M29" s="205"/>
      <c r="N29" s="54">
        <f t="shared" ref="N29:N39" si="15">K29+L29-M29</f>
        <v>0</v>
      </c>
      <c r="O29" s="218">
        <f t="shared" si="11"/>
        <v>0</v>
      </c>
      <c r="P29" s="31"/>
      <c r="Q29" s="54">
        <f>J29</f>
        <v>0</v>
      </c>
      <c r="R29" s="290">
        <f t="shared" si="12"/>
        <v>0</v>
      </c>
      <c r="S29" s="54">
        <f t="shared" ref="S29:S39" si="16">P29+Q29-R29</f>
        <v>0</v>
      </c>
    </row>
    <row r="30" spans="1:19" x14ac:dyDescent="0.25">
      <c r="A30" s="123">
        <v>3</v>
      </c>
      <c r="B30" s="124" t="str">
        <f>РегистрОПВ!B29</f>
        <v>Третий</v>
      </c>
      <c r="C30" s="57"/>
      <c r="D30" s="26">
        <f>РегистрОПВ!E29</f>
        <v>0</v>
      </c>
      <c r="E30" s="57"/>
      <c r="F30" s="35"/>
      <c r="G30" s="56">
        <f>РегистрОПВ!L29</f>
        <v>0</v>
      </c>
      <c r="H30" s="56">
        <f>РегистрОПВ!T29</f>
        <v>0</v>
      </c>
      <c r="I30" s="56">
        <f t="shared" si="13"/>
        <v>0</v>
      </c>
      <c r="J30" s="56">
        <f>IF(D30&lt;=Описание!E$26*25,I30*J$13/10,I30*J$13)</f>
        <v>0</v>
      </c>
      <c r="K30" s="29"/>
      <c r="L30" s="54">
        <f t="shared" si="14"/>
        <v>0</v>
      </c>
      <c r="M30" s="205"/>
      <c r="N30" s="54">
        <f>K30+L30-M30</f>
        <v>0</v>
      </c>
      <c r="O30" s="218">
        <f t="shared" si="11"/>
        <v>0</v>
      </c>
      <c r="P30" s="31"/>
      <c r="Q30" s="54">
        <f t="shared" ref="Q30:Q39" si="17">J30</f>
        <v>0</v>
      </c>
      <c r="R30" s="290">
        <f t="shared" si="12"/>
        <v>0</v>
      </c>
      <c r="S30" s="54">
        <f t="shared" si="16"/>
        <v>0</v>
      </c>
    </row>
    <row r="31" spans="1:19" x14ac:dyDescent="0.25">
      <c r="A31" s="123">
        <v>4</v>
      </c>
      <c r="B31" s="124" t="str">
        <f>РегистрОПВ!B30</f>
        <v>Четвертый</v>
      </c>
      <c r="C31" s="57"/>
      <c r="D31" s="26">
        <f>РегистрОПВ!E30</f>
        <v>0</v>
      </c>
      <c r="E31" s="57"/>
      <c r="F31" s="35"/>
      <c r="G31" s="56">
        <f>РегистрОПВ!L30</f>
        <v>0</v>
      </c>
      <c r="H31" s="56">
        <f>РегистрОПВ!T30</f>
        <v>0</v>
      </c>
      <c r="I31" s="56">
        <f t="shared" si="13"/>
        <v>0</v>
      </c>
      <c r="J31" s="56">
        <f>IF(D31&lt;=Описание!E$26*25,I31*J$13/10,I31*J$13)</f>
        <v>0</v>
      </c>
      <c r="K31" s="29"/>
      <c r="L31" s="54">
        <f t="shared" si="14"/>
        <v>0</v>
      </c>
      <c r="M31" s="205"/>
      <c r="N31" s="54">
        <f t="shared" si="15"/>
        <v>0</v>
      </c>
      <c r="O31" s="218">
        <f t="shared" si="11"/>
        <v>0</v>
      </c>
      <c r="P31" s="31"/>
      <c r="Q31" s="54">
        <f t="shared" si="17"/>
        <v>0</v>
      </c>
      <c r="R31" s="290">
        <f t="shared" si="12"/>
        <v>0</v>
      </c>
      <c r="S31" s="54">
        <f t="shared" si="16"/>
        <v>0</v>
      </c>
    </row>
    <row r="32" spans="1:19" x14ac:dyDescent="0.25">
      <c r="A32" s="123">
        <v>5</v>
      </c>
      <c r="B32" s="124" t="str">
        <f>РегистрОПВ!B31</f>
        <v>Пятый</v>
      </c>
      <c r="C32" s="57"/>
      <c r="D32" s="26">
        <f>РегистрОПВ!E31</f>
        <v>0</v>
      </c>
      <c r="E32" s="57"/>
      <c r="F32" s="35"/>
      <c r="G32" s="56">
        <f>РегистрОПВ!L31</f>
        <v>0</v>
      </c>
      <c r="H32" s="56">
        <f>РегистрОПВ!T31</f>
        <v>0</v>
      </c>
      <c r="I32" s="56">
        <f t="shared" si="13"/>
        <v>0</v>
      </c>
      <c r="J32" s="56">
        <f>IF(D32&lt;=Описание!E$26*25,I32*J$13/10,I32*J$13)</f>
        <v>0</v>
      </c>
      <c r="K32" s="29"/>
      <c r="L32" s="54">
        <f t="shared" si="14"/>
        <v>0</v>
      </c>
      <c r="M32" s="205"/>
      <c r="N32" s="54">
        <f t="shared" si="15"/>
        <v>0</v>
      </c>
      <c r="O32" s="218">
        <f t="shared" si="11"/>
        <v>0</v>
      </c>
      <c r="P32" s="31"/>
      <c r="Q32" s="54">
        <f t="shared" si="17"/>
        <v>0</v>
      </c>
      <c r="R32" s="290">
        <f t="shared" si="12"/>
        <v>0</v>
      </c>
      <c r="S32" s="54">
        <f t="shared" si="16"/>
        <v>0</v>
      </c>
    </row>
    <row r="33" spans="1:19" x14ac:dyDescent="0.25">
      <c r="A33" s="123">
        <v>6</v>
      </c>
      <c r="B33" s="124" t="str">
        <f>РегистрОПВ!B32</f>
        <v>Шестой</v>
      </c>
      <c r="C33" s="57"/>
      <c r="D33" s="26">
        <f>РегистрОПВ!E32</f>
        <v>0</v>
      </c>
      <c r="E33" s="57"/>
      <c r="F33" s="35"/>
      <c r="G33" s="56">
        <f>РегистрОПВ!L32</f>
        <v>0</v>
      </c>
      <c r="H33" s="56">
        <f>РегистрОПВ!T32</f>
        <v>0</v>
      </c>
      <c r="I33" s="56">
        <f t="shared" si="13"/>
        <v>0</v>
      </c>
      <c r="J33" s="56">
        <f>IF(D33&lt;=Описание!E$26*25,I33*J$13/10,I33*J$13)</f>
        <v>0</v>
      </c>
      <c r="K33" s="29"/>
      <c r="L33" s="54">
        <f t="shared" si="14"/>
        <v>0</v>
      </c>
      <c r="M33" s="205"/>
      <c r="N33" s="54">
        <f t="shared" si="15"/>
        <v>0</v>
      </c>
      <c r="O33" s="218">
        <f t="shared" si="11"/>
        <v>0</v>
      </c>
      <c r="P33" s="31"/>
      <c r="Q33" s="54">
        <f t="shared" si="17"/>
        <v>0</v>
      </c>
      <c r="R33" s="290">
        <f t="shared" si="12"/>
        <v>0</v>
      </c>
      <c r="S33" s="54">
        <f t="shared" si="16"/>
        <v>0</v>
      </c>
    </row>
    <row r="34" spans="1:19" ht="15" customHeight="1" x14ac:dyDescent="0.25">
      <c r="A34" s="123">
        <v>7</v>
      </c>
      <c r="B34" s="124">
        <f>РегистрОПВ!B33</f>
        <v>0</v>
      </c>
      <c r="C34" s="57"/>
      <c r="D34" s="26">
        <f>РегистрОПВ!E33</f>
        <v>0</v>
      </c>
      <c r="E34" s="57"/>
      <c r="F34" s="35"/>
      <c r="G34" s="56">
        <f>РегистрОПВ!L33</f>
        <v>0</v>
      </c>
      <c r="H34" s="56">
        <f>РегистрОПВ!T33</f>
        <v>0</v>
      </c>
      <c r="I34" s="56">
        <f t="shared" si="13"/>
        <v>0</v>
      </c>
      <c r="J34" s="56">
        <f>IF(D34&lt;=Описание!E$26*25,I34*J$13/10,I34*J$13)</f>
        <v>0</v>
      </c>
      <c r="K34" s="28"/>
      <c r="L34" s="54">
        <f t="shared" si="14"/>
        <v>0</v>
      </c>
      <c r="M34" s="28"/>
      <c r="N34" s="54">
        <f t="shared" si="15"/>
        <v>0</v>
      </c>
      <c r="O34" s="218">
        <f t="shared" si="11"/>
        <v>0</v>
      </c>
      <c r="P34" s="32"/>
      <c r="Q34" s="54">
        <f t="shared" si="17"/>
        <v>0</v>
      </c>
      <c r="R34" s="290">
        <f t="shared" si="12"/>
        <v>0</v>
      </c>
      <c r="S34" s="54">
        <f t="shared" si="16"/>
        <v>0</v>
      </c>
    </row>
    <row r="35" spans="1:19" ht="22.5" customHeight="1" x14ac:dyDescent="0.25">
      <c r="A35" s="123">
        <v>8</v>
      </c>
      <c r="B35" s="124">
        <f>РегистрОПВ!B34</f>
        <v>0</v>
      </c>
      <c r="C35" s="57"/>
      <c r="D35" s="26">
        <f>РегистрОПВ!E34</f>
        <v>0</v>
      </c>
      <c r="E35" s="57"/>
      <c r="F35" s="35"/>
      <c r="G35" s="56">
        <f>РегистрОПВ!L34</f>
        <v>0</v>
      </c>
      <c r="H35" s="56">
        <f>РегистрОПВ!T34</f>
        <v>0</v>
      </c>
      <c r="I35" s="56">
        <f t="shared" si="13"/>
        <v>0</v>
      </c>
      <c r="J35" s="56">
        <f>IF(D35&lt;=Описание!E$26*25,I35*J$13/10,I35*J$13)</f>
        <v>0</v>
      </c>
      <c r="K35" s="28"/>
      <c r="L35" s="54">
        <f t="shared" si="14"/>
        <v>0</v>
      </c>
      <c r="M35" s="29"/>
      <c r="N35" s="54">
        <f t="shared" si="15"/>
        <v>0</v>
      </c>
      <c r="O35" s="218">
        <f t="shared" si="11"/>
        <v>0</v>
      </c>
      <c r="P35" s="32"/>
      <c r="Q35" s="54">
        <f t="shared" si="17"/>
        <v>0</v>
      </c>
      <c r="R35" s="290">
        <f t="shared" si="12"/>
        <v>0</v>
      </c>
      <c r="S35" s="54">
        <f t="shared" si="16"/>
        <v>0</v>
      </c>
    </row>
    <row r="36" spans="1:19" ht="15" customHeight="1" x14ac:dyDescent="0.25">
      <c r="A36" s="123">
        <v>9</v>
      </c>
      <c r="B36" s="124">
        <f>РегистрОПВ!B35</f>
        <v>0</v>
      </c>
      <c r="C36" s="57"/>
      <c r="D36" s="26">
        <f>РегистрОПВ!E35</f>
        <v>0</v>
      </c>
      <c r="E36" s="57"/>
      <c r="F36" s="35"/>
      <c r="G36" s="56">
        <f>РегистрОПВ!L35</f>
        <v>0</v>
      </c>
      <c r="H36" s="56">
        <f>РегистрОПВ!T35</f>
        <v>0</v>
      </c>
      <c r="I36" s="56">
        <f t="shared" si="13"/>
        <v>0</v>
      </c>
      <c r="J36" s="56">
        <f>IF(D36&lt;=Описание!E$26*25,I36*J$13/10,I36*J$13)</f>
        <v>0</v>
      </c>
      <c r="K36" s="29"/>
      <c r="L36" s="54">
        <f t="shared" si="14"/>
        <v>0</v>
      </c>
      <c r="M36" s="29"/>
      <c r="N36" s="54">
        <f t="shared" si="15"/>
        <v>0</v>
      </c>
      <c r="O36" s="218">
        <f t="shared" si="11"/>
        <v>0</v>
      </c>
      <c r="P36" s="32"/>
      <c r="Q36" s="54">
        <f t="shared" si="17"/>
        <v>0</v>
      </c>
      <c r="R36" s="290">
        <f t="shared" si="12"/>
        <v>0</v>
      </c>
      <c r="S36" s="54">
        <f t="shared" si="16"/>
        <v>0</v>
      </c>
    </row>
    <row r="37" spans="1:19" ht="22.5" customHeight="1" x14ac:dyDescent="0.25">
      <c r="A37" s="123">
        <v>10</v>
      </c>
      <c r="B37" s="124">
        <f>РегистрОПВ!B36</f>
        <v>0</v>
      </c>
      <c r="C37" s="57"/>
      <c r="D37" s="26">
        <f>РегистрОПВ!E36</f>
        <v>0</v>
      </c>
      <c r="E37" s="31"/>
      <c r="F37" s="35"/>
      <c r="G37" s="56">
        <f>РегистрОПВ!L36</f>
        <v>0</v>
      </c>
      <c r="H37" s="56">
        <f>РегистрОПВ!T36</f>
        <v>0</v>
      </c>
      <c r="I37" s="56">
        <f t="shared" si="13"/>
        <v>0</v>
      </c>
      <c r="J37" s="56">
        <f>IF(D37&lt;=Описание!E$26*25,I37*J$13/10,I37*J$13)</f>
        <v>0</v>
      </c>
      <c r="K37" s="29"/>
      <c r="L37" s="54">
        <f t="shared" si="14"/>
        <v>0</v>
      </c>
      <c r="M37" s="29"/>
      <c r="N37" s="54">
        <f t="shared" si="15"/>
        <v>0</v>
      </c>
      <c r="O37" s="218">
        <f t="shared" si="11"/>
        <v>0</v>
      </c>
      <c r="P37" s="32"/>
      <c r="Q37" s="54">
        <f t="shared" si="17"/>
        <v>0</v>
      </c>
      <c r="R37" s="290">
        <f t="shared" si="12"/>
        <v>0</v>
      </c>
      <c r="S37" s="54">
        <f t="shared" si="16"/>
        <v>0</v>
      </c>
    </row>
    <row r="38" spans="1:19" ht="15" customHeight="1" x14ac:dyDescent="0.25">
      <c r="A38" s="123">
        <v>11</v>
      </c>
      <c r="B38" s="124">
        <f>РегистрОПВ!B37</f>
        <v>0</v>
      </c>
      <c r="C38" s="57"/>
      <c r="D38" s="26">
        <f>РегистрОПВ!E37</f>
        <v>0</v>
      </c>
      <c r="E38" s="119"/>
      <c r="F38" s="35"/>
      <c r="G38" s="56">
        <f>РегистрОПВ!L37</f>
        <v>0</v>
      </c>
      <c r="H38" s="56">
        <f>РегистрОПВ!T37</f>
        <v>0</v>
      </c>
      <c r="I38" s="56">
        <f t="shared" si="13"/>
        <v>0</v>
      </c>
      <c r="J38" s="56">
        <f>IF(D38&lt;=Описание!E$26*25,I38*J$13/10,I38*J$13)</f>
        <v>0</v>
      </c>
      <c r="K38" s="29"/>
      <c r="L38" s="54">
        <f t="shared" si="14"/>
        <v>0</v>
      </c>
      <c r="M38" s="29"/>
      <c r="N38" s="54">
        <f t="shared" si="15"/>
        <v>0</v>
      </c>
      <c r="O38" s="218">
        <f t="shared" si="11"/>
        <v>0</v>
      </c>
      <c r="P38" s="32"/>
      <c r="Q38" s="54">
        <f t="shared" si="17"/>
        <v>0</v>
      </c>
      <c r="R38" s="290">
        <f t="shared" si="12"/>
        <v>0</v>
      </c>
      <c r="S38" s="54">
        <f t="shared" si="16"/>
        <v>0</v>
      </c>
    </row>
    <row r="39" spans="1:19" x14ac:dyDescent="0.25">
      <c r="A39" s="123">
        <v>12</v>
      </c>
      <c r="B39" s="124">
        <f>РегистрОПВ!B38</f>
        <v>0</v>
      </c>
      <c r="C39" s="57"/>
      <c r="D39" s="26">
        <f>РегистрОПВ!E38</f>
        <v>0</v>
      </c>
      <c r="E39" s="31"/>
      <c r="F39" s="35"/>
      <c r="G39" s="56">
        <f>РегистрОПВ!L38</f>
        <v>0</v>
      </c>
      <c r="H39" s="56">
        <f>РегистрОПВ!T38</f>
        <v>0</v>
      </c>
      <c r="I39" s="56">
        <f t="shared" si="13"/>
        <v>0</v>
      </c>
      <c r="J39" s="56">
        <f>IF(D39&lt;=Описание!E$26*25,I39*J$13/10,I39*J$13)</f>
        <v>0</v>
      </c>
      <c r="K39" s="29"/>
      <c r="L39" s="54">
        <f t="shared" si="14"/>
        <v>0</v>
      </c>
      <c r="M39" s="29"/>
      <c r="N39" s="54">
        <f t="shared" si="15"/>
        <v>0</v>
      </c>
      <c r="O39" s="218">
        <f t="shared" si="11"/>
        <v>0</v>
      </c>
      <c r="P39" s="32"/>
      <c r="Q39" s="54">
        <f t="shared" si="17"/>
        <v>0</v>
      </c>
      <c r="R39" s="290">
        <f t="shared" si="12"/>
        <v>0</v>
      </c>
      <c r="S39" s="54">
        <f t="shared" si="16"/>
        <v>0</v>
      </c>
    </row>
    <row r="40" spans="1:19" x14ac:dyDescent="0.25">
      <c r="A40" s="22"/>
      <c r="B40" s="33" t="s">
        <v>110</v>
      </c>
      <c r="C40" s="24"/>
      <c r="D40" s="25">
        <f t="shared" ref="D40:I40" si="18">SUM(D41:D53)</f>
        <v>0</v>
      </c>
      <c r="E40" s="25">
        <f t="shared" si="18"/>
        <v>0</v>
      </c>
      <c r="F40" s="34">
        <f t="shared" si="18"/>
        <v>0</v>
      </c>
      <c r="G40" s="212">
        <f t="shared" si="18"/>
        <v>0</v>
      </c>
      <c r="H40" s="212">
        <f t="shared" si="18"/>
        <v>0</v>
      </c>
      <c r="I40" s="212">
        <f t="shared" si="18"/>
        <v>0</v>
      </c>
      <c r="J40" s="212">
        <f>SUM(J41:J53)</f>
        <v>0</v>
      </c>
      <c r="K40" s="25">
        <f t="shared" ref="K40:S40" si="19">SUM(K41:K53)</f>
        <v>0</v>
      </c>
      <c r="L40" s="25">
        <f t="shared" si="19"/>
        <v>0</v>
      </c>
      <c r="M40" s="25">
        <f>SUM(M41:M53)</f>
        <v>0</v>
      </c>
      <c r="N40" s="25">
        <f t="shared" si="19"/>
        <v>0</v>
      </c>
      <c r="O40" s="25"/>
      <c r="P40" s="25">
        <f t="shared" si="19"/>
        <v>0</v>
      </c>
      <c r="Q40" s="25">
        <f t="shared" si="19"/>
        <v>0</v>
      </c>
      <c r="R40" s="34">
        <f t="shared" si="19"/>
        <v>0</v>
      </c>
      <c r="S40" s="25">
        <f t="shared" si="19"/>
        <v>0</v>
      </c>
    </row>
    <row r="41" spans="1:19" x14ac:dyDescent="0.25">
      <c r="A41" s="123">
        <v>1</v>
      </c>
      <c r="B41" s="124" t="str">
        <f>РегистрОПВ!B40</f>
        <v>Первый</v>
      </c>
      <c r="C41" s="57"/>
      <c r="D41" s="26">
        <f>РегистрОПВ!E40</f>
        <v>0</v>
      </c>
      <c r="E41" s="27"/>
      <c r="F41" s="35"/>
      <c r="G41" s="56">
        <f>РегистрОПВ!L40</f>
        <v>0</v>
      </c>
      <c r="H41" s="56">
        <f>РегистрОПВ!T40</f>
        <v>0</v>
      </c>
      <c r="I41" s="56">
        <f>IF((D41-E41-F41-G41-H41)&gt;0,(D41-E41-F41-G41-H41),0)</f>
        <v>0</v>
      </c>
      <c r="J41" s="56">
        <f>IF(D41&lt;=Описание!E$26*25,I41*J$13/10,I41*J$13)</f>
        <v>0</v>
      </c>
      <c r="K41" s="205"/>
      <c r="L41" s="54">
        <f>D41-G41-J41-H41</f>
        <v>0</v>
      </c>
      <c r="M41" s="29"/>
      <c r="N41" s="54">
        <f>K41+L41-M41</f>
        <v>0</v>
      </c>
      <c r="O41" s="218">
        <f t="shared" ref="O41:O53" si="20">IF(D41=0,0,M41/(K41+L41))</f>
        <v>0</v>
      </c>
      <c r="P41" s="31"/>
      <c r="Q41" s="54">
        <f>J41</f>
        <v>0</v>
      </c>
      <c r="R41" s="290">
        <f t="shared" ref="R41:R53" si="21">IF(N41&lt;=0,(P41+Q41),(P41+Q41)*O41)</f>
        <v>0</v>
      </c>
      <c r="S41" s="54">
        <f>P41+Q41-R41</f>
        <v>0</v>
      </c>
    </row>
    <row r="42" spans="1:19" x14ac:dyDescent="0.25">
      <c r="A42" s="123">
        <v>2</v>
      </c>
      <c r="B42" s="124" t="str">
        <f>РегистрОПВ!B41</f>
        <v>Второй</v>
      </c>
      <c r="C42" s="57"/>
      <c r="D42" s="26">
        <f>РегистрОПВ!E41</f>
        <v>0</v>
      </c>
      <c r="E42" s="27"/>
      <c r="F42" s="35"/>
      <c r="G42" s="56">
        <f>РегистрОПВ!L41</f>
        <v>0</v>
      </c>
      <c r="H42" s="56">
        <f>РегистрОПВ!T41</f>
        <v>0</v>
      </c>
      <c r="I42" s="56">
        <f t="shared" ref="I42:I52" si="22">IF((D42-E42-F42-G42-H42)&gt;0,(D42-E42-F42-G42-H42),0)</f>
        <v>0</v>
      </c>
      <c r="J42" s="56">
        <f>IF(D42&lt;=Описание!E$26*25,I42*J$13/10,I42*J$13)</f>
        <v>0</v>
      </c>
      <c r="K42" s="205"/>
      <c r="L42" s="54">
        <f t="shared" ref="L42:L53" si="23">D42-G42-J42-H42</f>
        <v>0</v>
      </c>
      <c r="M42" s="29"/>
      <c r="N42" s="54">
        <f t="shared" ref="N42:N53" si="24">K42+L42-M42</f>
        <v>0</v>
      </c>
      <c r="O42" s="218">
        <f t="shared" si="20"/>
        <v>0</v>
      </c>
      <c r="P42" s="31"/>
      <c r="Q42" s="54">
        <f t="shared" ref="Q42:Q53" si="25">J42</f>
        <v>0</v>
      </c>
      <c r="R42" s="290">
        <f t="shared" si="21"/>
        <v>0</v>
      </c>
      <c r="S42" s="54">
        <f t="shared" ref="S42:S53" si="26">P42+Q42-R42</f>
        <v>0</v>
      </c>
    </row>
    <row r="43" spans="1:19" x14ac:dyDescent="0.25">
      <c r="A43" s="123">
        <v>3</v>
      </c>
      <c r="B43" s="124" t="str">
        <f>РегистрОПВ!B42</f>
        <v>Третий</v>
      </c>
      <c r="C43" s="57"/>
      <c r="D43" s="26">
        <f>РегистрОПВ!E42</f>
        <v>0</v>
      </c>
      <c r="E43" s="57"/>
      <c r="F43" s="35"/>
      <c r="G43" s="56">
        <f>РегистрОПВ!L42</f>
        <v>0</v>
      </c>
      <c r="H43" s="56">
        <f>РегистрОПВ!T42</f>
        <v>0</v>
      </c>
      <c r="I43" s="56">
        <f t="shared" si="22"/>
        <v>0</v>
      </c>
      <c r="J43" s="56">
        <f>IF(D43&lt;=Описание!E$26*25,I43*J$13/10,I43*J$13)</f>
        <v>0</v>
      </c>
      <c r="K43" s="206"/>
      <c r="L43" s="54">
        <f t="shared" si="23"/>
        <v>0</v>
      </c>
      <c r="M43" s="29"/>
      <c r="N43" s="54">
        <f t="shared" si="24"/>
        <v>0</v>
      </c>
      <c r="O43" s="218">
        <f t="shared" si="20"/>
        <v>0</v>
      </c>
      <c r="P43" s="31"/>
      <c r="Q43" s="54">
        <f t="shared" si="25"/>
        <v>0</v>
      </c>
      <c r="R43" s="290">
        <f t="shared" si="21"/>
        <v>0</v>
      </c>
      <c r="S43" s="54">
        <f t="shared" si="26"/>
        <v>0</v>
      </c>
    </row>
    <row r="44" spans="1:19" x14ac:dyDescent="0.25">
      <c r="A44" s="123">
        <v>4</v>
      </c>
      <c r="B44" s="124" t="str">
        <f>РегистрОПВ!B43</f>
        <v>Четвертый</v>
      </c>
      <c r="C44" s="57"/>
      <c r="D44" s="26">
        <f>РегистрОПВ!E43</f>
        <v>0</v>
      </c>
      <c r="E44" s="57"/>
      <c r="F44" s="35"/>
      <c r="G44" s="56">
        <f>РегистрОПВ!L43</f>
        <v>0</v>
      </c>
      <c r="H44" s="56">
        <f>РегистрОПВ!T43</f>
        <v>0</v>
      </c>
      <c r="I44" s="56">
        <f t="shared" si="22"/>
        <v>0</v>
      </c>
      <c r="J44" s="56">
        <f>IF(D44&lt;=Описание!E$26*25,I44*J$13/10,I44*J$13)</f>
        <v>0</v>
      </c>
      <c r="K44" s="206"/>
      <c r="L44" s="54">
        <f t="shared" si="23"/>
        <v>0</v>
      </c>
      <c r="M44" s="29"/>
      <c r="N44" s="54">
        <f t="shared" si="24"/>
        <v>0</v>
      </c>
      <c r="O44" s="218">
        <f t="shared" si="20"/>
        <v>0</v>
      </c>
      <c r="P44" s="31"/>
      <c r="Q44" s="54">
        <f t="shared" si="25"/>
        <v>0</v>
      </c>
      <c r="R44" s="290">
        <f t="shared" si="21"/>
        <v>0</v>
      </c>
      <c r="S44" s="54">
        <f t="shared" si="26"/>
        <v>0</v>
      </c>
    </row>
    <row r="45" spans="1:19" x14ac:dyDescent="0.25">
      <c r="A45" s="123">
        <v>5</v>
      </c>
      <c r="B45" s="124" t="str">
        <f>РегистрОПВ!B44</f>
        <v>Пятый</v>
      </c>
      <c r="C45" s="57"/>
      <c r="D45" s="26">
        <f>РегистрОПВ!E44</f>
        <v>0</v>
      </c>
      <c r="E45" s="57"/>
      <c r="F45" s="35"/>
      <c r="G45" s="56">
        <f>РегистрОПВ!L44</f>
        <v>0</v>
      </c>
      <c r="H45" s="56">
        <f>РегистрОПВ!T44</f>
        <v>0</v>
      </c>
      <c r="I45" s="56">
        <f t="shared" si="22"/>
        <v>0</v>
      </c>
      <c r="J45" s="56">
        <f>IF(D45&lt;=Описание!E$26*25,I45*J$13/10,I45*J$13)</f>
        <v>0</v>
      </c>
      <c r="K45" s="206"/>
      <c r="L45" s="54">
        <f t="shared" si="23"/>
        <v>0</v>
      </c>
      <c r="M45" s="29"/>
      <c r="N45" s="54">
        <f t="shared" si="24"/>
        <v>0</v>
      </c>
      <c r="O45" s="218">
        <f t="shared" si="20"/>
        <v>0</v>
      </c>
      <c r="P45" s="31"/>
      <c r="Q45" s="54">
        <f t="shared" si="25"/>
        <v>0</v>
      </c>
      <c r="R45" s="290">
        <f t="shared" si="21"/>
        <v>0</v>
      </c>
      <c r="S45" s="54">
        <f t="shared" si="26"/>
        <v>0</v>
      </c>
    </row>
    <row r="46" spans="1:19" x14ac:dyDescent="0.25">
      <c r="A46" s="123">
        <v>6</v>
      </c>
      <c r="B46" s="124" t="str">
        <f>РегистрОПВ!B45</f>
        <v>Шестой</v>
      </c>
      <c r="C46" s="57"/>
      <c r="D46" s="26">
        <f>РегистрОПВ!E45</f>
        <v>0</v>
      </c>
      <c r="E46" s="57"/>
      <c r="F46" s="35"/>
      <c r="G46" s="56">
        <f>РегистрОПВ!L45</f>
        <v>0</v>
      </c>
      <c r="H46" s="56">
        <f>РегистрОПВ!T45</f>
        <v>0</v>
      </c>
      <c r="I46" s="56">
        <f t="shared" si="22"/>
        <v>0</v>
      </c>
      <c r="J46" s="56">
        <f>IF(D46&lt;=Описание!E$26*25,I46*J$13/10,I46*J$13)</f>
        <v>0</v>
      </c>
      <c r="K46" s="206"/>
      <c r="L46" s="54">
        <f t="shared" si="23"/>
        <v>0</v>
      </c>
      <c r="M46" s="29"/>
      <c r="N46" s="54">
        <f t="shared" si="24"/>
        <v>0</v>
      </c>
      <c r="O46" s="218">
        <f t="shared" si="20"/>
        <v>0</v>
      </c>
      <c r="P46" s="32"/>
      <c r="Q46" s="54">
        <f t="shared" si="25"/>
        <v>0</v>
      </c>
      <c r="R46" s="290">
        <f t="shared" si="21"/>
        <v>0</v>
      </c>
      <c r="S46" s="54">
        <f t="shared" si="26"/>
        <v>0</v>
      </c>
    </row>
    <row r="47" spans="1:19" ht="22.5" customHeight="1" x14ac:dyDescent="0.25">
      <c r="A47" s="123">
        <v>7</v>
      </c>
      <c r="B47" s="124">
        <f>РегистрОПВ!B46</f>
        <v>0</v>
      </c>
      <c r="C47" s="57"/>
      <c r="D47" s="26">
        <f>РегистрОПВ!E46</f>
        <v>0</v>
      </c>
      <c r="E47" s="57"/>
      <c r="F47" s="35"/>
      <c r="G47" s="56">
        <f>РегистрОПВ!L46</f>
        <v>0</v>
      </c>
      <c r="H47" s="56">
        <f>РегистрОПВ!T46</f>
        <v>0</v>
      </c>
      <c r="I47" s="56">
        <f t="shared" si="22"/>
        <v>0</v>
      </c>
      <c r="J47" s="56">
        <f>IF(D47&lt;=Описание!E$26*25,I47*J$13/10,I47*J$13)</f>
        <v>0</v>
      </c>
      <c r="K47" s="32"/>
      <c r="L47" s="54">
        <f t="shared" si="23"/>
        <v>0</v>
      </c>
      <c r="M47" s="29"/>
      <c r="N47" s="54">
        <f t="shared" si="24"/>
        <v>0</v>
      </c>
      <c r="O47" s="218">
        <f t="shared" si="20"/>
        <v>0</v>
      </c>
      <c r="P47" s="32"/>
      <c r="Q47" s="54">
        <f t="shared" si="25"/>
        <v>0</v>
      </c>
      <c r="R47" s="290">
        <f t="shared" si="21"/>
        <v>0</v>
      </c>
      <c r="S47" s="54">
        <f t="shared" si="26"/>
        <v>0</v>
      </c>
    </row>
    <row r="48" spans="1:19" x14ac:dyDescent="0.25">
      <c r="A48" s="123">
        <v>8</v>
      </c>
      <c r="B48" s="124">
        <f>РегистрОПВ!B47</f>
        <v>0</v>
      </c>
      <c r="C48" s="57"/>
      <c r="D48" s="26">
        <f>РегистрОПВ!E47</f>
        <v>0</v>
      </c>
      <c r="E48" s="57"/>
      <c r="F48" s="35"/>
      <c r="G48" s="56">
        <f>РегистрОПВ!L47</f>
        <v>0</v>
      </c>
      <c r="H48" s="56">
        <f>РегистрОПВ!T47</f>
        <v>0</v>
      </c>
      <c r="I48" s="56">
        <f t="shared" si="22"/>
        <v>0</v>
      </c>
      <c r="J48" s="56">
        <f>IF(D48&lt;=Описание!E$26*25,I48*J$13/10,I48*J$13)</f>
        <v>0</v>
      </c>
      <c r="K48" s="32"/>
      <c r="L48" s="54">
        <f t="shared" si="23"/>
        <v>0</v>
      </c>
      <c r="M48" s="29"/>
      <c r="N48" s="54">
        <f t="shared" si="24"/>
        <v>0</v>
      </c>
      <c r="O48" s="218">
        <f t="shared" si="20"/>
        <v>0</v>
      </c>
      <c r="P48" s="32"/>
      <c r="Q48" s="54">
        <f t="shared" si="25"/>
        <v>0</v>
      </c>
      <c r="R48" s="290">
        <f t="shared" si="21"/>
        <v>0</v>
      </c>
      <c r="S48" s="54">
        <f t="shared" si="26"/>
        <v>0</v>
      </c>
    </row>
    <row r="49" spans="1:19" ht="22.5" customHeight="1" x14ac:dyDescent="0.25">
      <c r="A49" s="123">
        <v>9</v>
      </c>
      <c r="B49" s="124">
        <f>РегистрОПВ!B48</f>
        <v>0</v>
      </c>
      <c r="C49" s="57"/>
      <c r="D49" s="26">
        <f>РегистрОПВ!E48</f>
        <v>0</v>
      </c>
      <c r="E49" s="57"/>
      <c r="F49" s="35"/>
      <c r="G49" s="56">
        <f>РегистрОПВ!L48</f>
        <v>0</v>
      </c>
      <c r="H49" s="56">
        <f>РегистрОПВ!T48</f>
        <v>0</v>
      </c>
      <c r="I49" s="56">
        <f t="shared" si="22"/>
        <v>0</v>
      </c>
      <c r="J49" s="56">
        <f>IF(D49&lt;=Описание!E$26*25,I49*J$13/10,I49*J$13)</f>
        <v>0</v>
      </c>
      <c r="K49" s="32"/>
      <c r="L49" s="54">
        <f t="shared" si="23"/>
        <v>0</v>
      </c>
      <c r="M49" s="29"/>
      <c r="N49" s="54">
        <f t="shared" si="24"/>
        <v>0</v>
      </c>
      <c r="O49" s="218">
        <f t="shared" si="20"/>
        <v>0</v>
      </c>
      <c r="P49" s="32"/>
      <c r="Q49" s="54">
        <f>J49</f>
        <v>0</v>
      </c>
      <c r="R49" s="290">
        <f t="shared" si="21"/>
        <v>0</v>
      </c>
      <c r="S49" s="54">
        <f t="shared" si="26"/>
        <v>0</v>
      </c>
    </row>
    <row r="50" spans="1:19" x14ac:dyDescent="0.25">
      <c r="A50" s="123">
        <v>10</v>
      </c>
      <c r="B50" s="124">
        <f>РегистрОПВ!B49</f>
        <v>0</v>
      </c>
      <c r="C50" s="57"/>
      <c r="D50" s="26">
        <f>РегистрОПВ!E49</f>
        <v>0</v>
      </c>
      <c r="E50" s="31"/>
      <c r="F50" s="35"/>
      <c r="G50" s="56">
        <f>РегистрОПВ!L49</f>
        <v>0</v>
      </c>
      <c r="H50" s="56">
        <f>РегистрОПВ!T49</f>
        <v>0</v>
      </c>
      <c r="I50" s="56">
        <f t="shared" si="22"/>
        <v>0</v>
      </c>
      <c r="J50" s="56">
        <f>IF(D50&lt;=Описание!E$26*25,I50*J$13/10,I50*J$13)</f>
        <v>0</v>
      </c>
      <c r="K50" s="32"/>
      <c r="L50" s="54">
        <f t="shared" si="23"/>
        <v>0</v>
      </c>
      <c r="M50" s="29"/>
      <c r="N50" s="54">
        <f t="shared" si="24"/>
        <v>0</v>
      </c>
      <c r="O50" s="218">
        <f t="shared" si="20"/>
        <v>0</v>
      </c>
      <c r="P50" s="32"/>
      <c r="Q50" s="54">
        <f t="shared" si="25"/>
        <v>0</v>
      </c>
      <c r="R50" s="290">
        <f t="shared" si="21"/>
        <v>0</v>
      </c>
      <c r="S50" s="54">
        <f t="shared" si="26"/>
        <v>0</v>
      </c>
    </row>
    <row r="51" spans="1:19" ht="22.5" customHeight="1" x14ac:dyDescent="0.25">
      <c r="A51" s="123">
        <v>11</v>
      </c>
      <c r="B51" s="124">
        <f>РегистрОПВ!B50</f>
        <v>0</v>
      </c>
      <c r="C51" s="57"/>
      <c r="D51" s="26">
        <f>РегистрОПВ!E50</f>
        <v>0</v>
      </c>
      <c r="E51" s="119"/>
      <c r="F51" s="35"/>
      <c r="G51" s="56">
        <f>РегистрОПВ!L50</f>
        <v>0</v>
      </c>
      <c r="H51" s="56">
        <f>РегистрОПВ!T50</f>
        <v>0</v>
      </c>
      <c r="I51" s="56">
        <f t="shared" si="22"/>
        <v>0</v>
      </c>
      <c r="J51" s="56">
        <f>IF(D51&lt;=Описание!E$26*25,I51*J$13/10,I51*J$13)</f>
        <v>0</v>
      </c>
      <c r="K51" s="32"/>
      <c r="L51" s="54">
        <f t="shared" si="23"/>
        <v>0</v>
      </c>
      <c r="M51" s="29"/>
      <c r="N51" s="54">
        <f t="shared" si="24"/>
        <v>0</v>
      </c>
      <c r="O51" s="218">
        <f t="shared" si="20"/>
        <v>0</v>
      </c>
      <c r="P51" s="32"/>
      <c r="Q51" s="54">
        <f t="shared" si="25"/>
        <v>0</v>
      </c>
      <c r="R51" s="290">
        <f t="shared" si="21"/>
        <v>0</v>
      </c>
      <c r="S51" s="54">
        <f t="shared" si="26"/>
        <v>0</v>
      </c>
    </row>
    <row r="52" spans="1:19" x14ac:dyDescent="0.25">
      <c r="A52" s="123">
        <v>12</v>
      </c>
      <c r="B52" s="124">
        <f>РегистрОПВ!B51</f>
        <v>0</v>
      </c>
      <c r="C52" s="57"/>
      <c r="D52" s="26">
        <f>РегистрОПВ!E51</f>
        <v>0</v>
      </c>
      <c r="E52" s="119"/>
      <c r="F52" s="35"/>
      <c r="G52" s="56">
        <f>РегистрОПВ!L51</f>
        <v>0</v>
      </c>
      <c r="H52" s="56">
        <f>РегистрОПВ!T51</f>
        <v>0</v>
      </c>
      <c r="I52" s="56">
        <f t="shared" si="22"/>
        <v>0</v>
      </c>
      <c r="J52" s="56">
        <f>IF(D52&lt;=Описание!E$26*25,I52*J$13/10,I52*J$13)</f>
        <v>0</v>
      </c>
      <c r="K52" s="32"/>
      <c r="L52" s="54">
        <f t="shared" si="23"/>
        <v>0</v>
      </c>
      <c r="M52" s="29"/>
      <c r="N52" s="54"/>
      <c r="O52" s="218">
        <f t="shared" si="20"/>
        <v>0</v>
      </c>
      <c r="P52" s="32"/>
      <c r="Q52" s="54">
        <f t="shared" si="25"/>
        <v>0</v>
      </c>
      <c r="R52" s="290">
        <f t="shared" si="21"/>
        <v>0</v>
      </c>
      <c r="S52" s="54">
        <f t="shared" si="26"/>
        <v>0</v>
      </c>
    </row>
    <row r="53" spans="1:19" ht="22.5" customHeight="1" x14ac:dyDescent="0.25">
      <c r="A53" s="123">
        <v>13</v>
      </c>
      <c r="B53" s="124">
        <f>РегистрОПВ!B52</f>
        <v>0</v>
      </c>
      <c r="C53" s="57"/>
      <c r="D53" s="26">
        <f>РегистрОПВ!E52</f>
        <v>0</v>
      </c>
      <c r="E53" s="31"/>
      <c r="F53" s="35"/>
      <c r="G53" s="56">
        <f>РегистрОПВ!L52</f>
        <v>0</v>
      </c>
      <c r="H53" s="56">
        <f>РегистрОПВ!T52</f>
        <v>0</v>
      </c>
      <c r="I53" s="56">
        <f>IF((D53-E53-F53-G53-H53)&gt;0,(D53-E53-F53-G53-H53),0)</f>
        <v>0</v>
      </c>
      <c r="J53" s="56">
        <f>IF(D53&lt;=Описание!E$26*25,I53*J$13/10,I53*J$13)</f>
        <v>0</v>
      </c>
      <c r="K53" s="32"/>
      <c r="L53" s="54">
        <f t="shared" si="23"/>
        <v>0</v>
      </c>
      <c r="M53" s="29"/>
      <c r="N53" s="54">
        <f t="shared" si="24"/>
        <v>0</v>
      </c>
      <c r="O53" s="218">
        <f t="shared" si="20"/>
        <v>0</v>
      </c>
      <c r="P53" s="32"/>
      <c r="Q53" s="54">
        <f t="shared" si="25"/>
        <v>0</v>
      </c>
      <c r="R53" s="290">
        <f t="shared" si="21"/>
        <v>0</v>
      </c>
      <c r="S53" s="54">
        <f t="shared" si="26"/>
        <v>0</v>
      </c>
    </row>
    <row r="54" spans="1:19" ht="40.200000000000003" thickBot="1" x14ac:dyDescent="0.3">
      <c r="A54" s="120"/>
      <c r="B54" s="111" t="s">
        <v>142</v>
      </c>
      <c r="C54" s="111"/>
      <c r="D54" s="112">
        <f>D40+D27+D14</f>
        <v>0</v>
      </c>
      <c r="E54" s="112">
        <f>E40+E27+E14</f>
        <v>0</v>
      </c>
      <c r="F54" s="112">
        <f>F40+F27+F14</f>
        <v>0</v>
      </c>
      <c r="G54" s="112">
        <f>G40+G27+G14</f>
        <v>0</v>
      </c>
      <c r="H54" s="112">
        <f>H40+H27+H14</f>
        <v>0</v>
      </c>
      <c r="I54" s="112">
        <f t="shared" ref="I54:O54" si="27">I40+I27+I14</f>
        <v>0</v>
      </c>
      <c r="J54" s="112">
        <f>J40+J27+J14</f>
        <v>0</v>
      </c>
      <c r="K54" s="112">
        <f>K14</f>
        <v>0</v>
      </c>
      <c r="L54" s="112">
        <f t="shared" si="27"/>
        <v>0</v>
      </c>
      <c r="M54" s="112">
        <f t="shared" si="27"/>
        <v>0</v>
      </c>
      <c r="N54" s="112">
        <f>N40</f>
        <v>0</v>
      </c>
      <c r="O54" s="112">
        <f t="shared" si="27"/>
        <v>0</v>
      </c>
      <c r="P54" s="112">
        <f>P14</f>
        <v>0</v>
      </c>
      <c r="Q54" s="112">
        <f>Q40+Q27+Q14</f>
        <v>0</v>
      </c>
      <c r="R54" s="291">
        <f>R40+R27+R14</f>
        <v>0</v>
      </c>
      <c r="S54" s="112">
        <f>S40</f>
        <v>0</v>
      </c>
    </row>
    <row r="57" spans="1:19" x14ac:dyDescent="0.25">
      <c r="A57" s="61" t="s">
        <v>96</v>
      </c>
      <c r="B57" s="9"/>
      <c r="C57" s="121"/>
      <c r="E57" s="122"/>
    </row>
    <row r="58" spans="1:19" x14ac:dyDescent="0.25">
      <c r="A58" s="61" t="s">
        <v>97</v>
      </c>
      <c r="B58" s="94"/>
      <c r="C58" s="121"/>
    </row>
    <row r="59" spans="1:19" x14ac:dyDescent="0.25">
      <c r="A59" s="61" t="s">
        <v>96</v>
      </c>
      <c r="B59" s="9"/>
      <c r="C59" s="121"/>
    </row>
    <row r="60" spans="1:19" x14ac:dyDescent="0.25">
      <c r="A60" s="61" t="s">
        <v>98</v>
      </c>
      <c r="B60" s="94"/>
      <c r="C60" s="121"/>
    </row>
    <row r="61" spans="1:19" x14ac:dyDescent="0.25">
      <c r="A61" s="61" t="s">
        <v>96</v>
      </c>
      <c r="B61" s="9"/>
      <c r="C61" s="121"/>
    </row>
    <row r="62" spans="1:19" x14ac:dyDescent="0.25">
      <c r="A62" s="61" t="s">
        <v>99</v>
      </c>
      <c r="B62" s="94"/>
      <c r="C62" s="121"/>
    </row>
    <row r="63" spans="1:19" x14ac:dyDescent="0.25">
      <c r="A63" s="61" t="s">
        <v>100</v>
      </c>
      <c r="B63" s="115"/>
      <c r="C63" s="94"/>
      <c r="D63" s="121"/>
      <c r="E63" s="94"/>
    </row>
    <row r="64" spans="1:19" x14ac:dyDescent="0.25">
      <c r="A64" s="61" t="s">
        <v>101</v>
      </c>
      <c r="B64" s="94"/>
      <c r="C64" s="94"/>
      <c r="D64" s="121"/>
      <c r="E64" s="94"/>
    </row>
    <row r="65" spans="5:15" x14ac:dyDescent="0.25">
      <c r="E65" s="94"/>
      <c r="F65" s="37"/>
      <c r="G65" s="94"/>
      <c r="H65" s="94"/>
      <c r="I65" s="94"/>
      <c r="J65" s="94"/>
      <c r="K65" s="94"/>
      <c r="L65" s="94"/>
      <c r="M65" s="94"/>
      <c r="N65" s="94"/>
      <c r="O65" s="94"/>
    </row>
  </sheetData>
  <mergeCells count="15">
    <mergeCell ref="E3:F3"/>
    <mergeCell ref="E4:F4"/>
    <mergeCell ref="E6:F6"/>
    <mergeCell ref="A9:A10"/>
    <mergeCell ref="B9:B10"/>
    <mergeCell ref="C9:C10"/>
    <mergeCell ref="D9:D10"/>
    <mergeCell ref="E9:E10"/>
    <mergeCell ref="K9:N9"/>
    <mergeCell ref="P9:S9"/>
    <mergeCell ref="F9:F10"/>
    <mergeCell ref="G9:G10"/>
    <mergeCell ref="I9:I10"/>
    <mergeCell ref="J9:J10"/>
    <mergeCell ref="H9:H10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63"/>
  <sheetViews>
    <sheetView topLeftCell="A19" zoomScale="97" zoomScaleNormal="97" workbookViewId="0">
      <selection activeCell="J46" sqref="J46"/>
    </sheetView>
  </sheetViews>
  <sheetFormatPr defaultColWidth="9.109375" defaultRowHeight="13.2" x14ac:dyDescent="0.25"/>
  <cols>
    <col min="1" max="1" width="3.5546875" style="48" customWidth="1"/>
    <col min="2" max="2" width="23.5546875" style="48" customWidth="1"/>
    <col min="3" max="3" width="15" style="48" customWidth="1"/>
    <col min="4" max="4" width="13.6640625" style="48" customWidth="1"/>
    <col min="5" max="5" width="16.33203125" style="48" customWidth="1"/>
    <col min="6" max="6" width="16.6640625" style="48" customWidth="1"/>
    <col min="7" max="7" width="17.44140625" style="48" customWidth="1"/>
    <col min="8" max="8" width="15.33203125" style="48" customWidth="1"/>
    <col min="9" max="11" width="15.44140625" style="48" customWidth="1"/>
    <col min="12" max="13" width="10.5546875" style="48" customWidth="1"/>
    <col min="14" max="14" width="11.109375" style="48" customWidth="1"/>
    <col min="15" max="15" width="13.44140625" style="48" customWidth="1"/>
    <col min="16" max="16384" width="9.109375" style="48"/>
  </cols>
  <sheetData>
    <row r="1" spans="1:15" ht="19.5" customHeight="1" x14ac:dyDescent="0.25">
      <c r="A1" s="91" t="s">
        <v>81</v>
      </c>
      <c r="B1" s="92" t="s">
        <v>102</v>
      </c>
      <c r="F1" s="305"/>
      <c r="G1" s="305"/>
      <c r="H1" s="305"/>
      <c r="I1" s="93"/>
      <c r="J1" s="93"/>
      <c r="K1" s="93"/>
    </row>
    <row r="2" spans="1:15" x14ac:dyDescent="0.25">
      <c r="A2" s="91" t="s">
        <v>82</v>
      </c>
      <c r="B2" s="92" t="s">
        <v>103</v>
      </c>
      <c r="C2" s="48">
        <f>'200.00 200.01'!E10</f>
        <v>123123123</v>
      </c>
      <c r="F2" s="305"/>
      <c r="G2" s="305"/>
      <c r="H2" s="305"/>
      <c r="I2" s="94"/>
      <c r="J2" s="94"/>
      <c r="K2" s="94"/>
    </row>
    <row r="3" spans="1:15" x14ac:dyDescent="0.25">
      <c r="A3" s="94"/>
      <c r="B3" s="15" t="s">
        <v>83</v>
      </c>
      <c r="F3" s="95"/>
      <c r="G3" s="95"/>
      <c r="H3" s="95"/>
      <c r="I3" s="95"/>
      <c r="J3" s="95"/>
      <c r="K3" s="95"/>
    </row>
    <row r="4" spans="1:15" x14ac:dyDescent="0.25">
      <c r="A4" s="37" t="s">
        <v>84</v>
      </c>
      <c r="B4" s="94" t="s">
        <v>104</v>
      </c>
      <c r="D4" s="48" t="str">
        <f>'200.00 200.01'!J14</f>
        <v>ТОО AAAA</v>
      </c>
      <c r="F4" s="305"/>
      <c r="G4" s="305"/>
      <c r="H4" s="305"/>
      <c r="I4" s="94"/>
      <c r="J4" s="94"/>
      <c r="K4" s="94"/>
    </row>
    <row r="5" spans="1:15" x14ac:dyDescent="0.25">
      <c r="A5" s="37" t="s">
        <v>85</v>
      </c>
      <c r="B5" s="94" t="s">
        <v>105</v>
      </c>
      <c r="F5" s="94" t="s">
        <v>106</v>
      </c>
      <c r="G5" s="95">
        <f>'200.00 200.01'!J12</f>
        <v>1</v>
      </c>
      <c r="H5" s="94" t="s">
        <v>107</v>
      </c>
      <c r="I5" s="95">
        <f>'200.00 200.01'!M12</f>
        <v>2024</v>
      </c>
      <c r="J5" s="94"/>
      <c r="K5" s="94"/>
    </row>
    <row r="6" spans="1:15" ht="7.5" customHeight="1" x14ac:dyDescent="0.25">
      <c r="A6" s="37"/>
      <c r="B6" s="94"/>
      <c r="C6" s="94"/>
      <c r="D6" s="94"/>
      <c r="E6" s="94"/>
      <c r="F6" s="94"/>
      <c r="G6" s="94"/>
      <c r="H6" s="94"/>
      <c r="I6" s="94"/>
      <c r="J6" s="94"/>
      <c r="K6" s="94"/>
    </row>
    <row r="7" spans="1:15" ht="6.75" customHeight="1" x14ac:dyDescent="0.25"/>
    <row r="8" spans="1:15" ht="16.5" customHeight="1" x14ac:dyDescent="0.25">
      <c r="A8" s="94"/>
      <c r="B8" s="5" t="s">
        <v>150</v>
      </c>
      <c r="C8" s="94"/>
      <c r="D8" s="94"/>
      <c r="E8" s="94"/>
      <c r="F8" s="94"/>
      <c r="G8" s="94"/>
      <c r="H8" s="94"/>
    </row>
    <row r="9" spans="1:15" ht="12" customHeight="1" thickBot="1" x14ac:dyDescent="0.3">
      <c r="A9" s="94"/>
      <c r="B9" s="9"/>
      <c r="C9" s="37"/>
      <c r="D9" s="94"/>
      <c r="E9" s="94"/>
      <c r="F9" s="94"/>
      <c r="G9" s="37"/>
      <c r="H9" s="37"/>
      <c r="I9" s="37" t="s">
        <v>87</v>
      </c>
      <c r="J9" s="37"/>
      <c r="K9" s="37"/>
    </row>
    <row r="10" spans="1:15" s="140" customFormat="1" ht="117.75" customHeight="1" thickBot="1" x14ac:dyDescent="0.35">
      <c r="A10" s="42" t="s">
        <v>88</v>
      </c>
      <c r="B10" s="43" t="s">
        <v>89</v>
      </c>
      <c r="C10" s="43" t="s">
        <v>91</v>
      </c>
      <c r="D10" s="43" t="s">
        <v>158</v>
      </c>
      <c r="E10" s="43" t="s">
        <v>122</v>
      </c>
      <c r="F10" s="43" t="s">
        <v>151</v>
      </c>
      <c r="G10" s="43" t="s">
        <v>160</v>
      </c>
      <c r="H10" s="127" t="s">
        <v>152</v>
      </c>
      <c r="I10" s="128" t="s">
        <v>153</v>
      </c>
      <c r="J10" s="43" t="s">
        <v>177</v>
      </c>
      <c r="K10" s="44" t="s">
        <v>234</v>
      </c>
      <c r="L10" s="44" t="s">
        <v>176</v>
      </c>
      <c r="M10" s="44" t="s">
        <v>178</v>
      </c>
      <c r="N10" s="44" t="s">
        <v>323</v>
      </c>
      <c r="O10" s="44" t="s">
        <v>173</v>
      </c>
    </row>
    <row r="11" spans="1:15" x14ac:dyDescent="0.25">
      <c r="A11" s="129">
        <v>1</v>
      </c>
      <c r="B11" s="130">
        <v>2</v>
      </c>
      <c r="C11" s="130">
        <v>4</v>
      </c>
      <c r="D11" s="130">
        <v>5</v>
      </c>
      <c r="E11" s="130"/>
      <c r="F11" s="130">
        <v>6</v>
      </c>
      <c r="G11" s="130">
        <v>7</v>
      </c>
      <c r="H11" s="131">
        <v>8</v>
      </c>
      <c r="I11" s="132">
        <v>9</v>
      </c>
      <c r="J11" s="132">
        <v>10</v>
      </c>
      <c r="K11" s="132">
        <v>11</v>
      </c>
      <c r="L11" s="131">
        <v>12</v>
      </c>
      <c r="M11" s="131"/>
      <c r="N11" s="131">
        <v>13</v>
      </c>
      <c r="O11" s="131">
        <v>14</v>
      </c>
    </row>
    <row r="12" spans="1:15" s="140" customFormat="1" ht="53.4" thickBot="1" x14ac:dyDescent="0.35">
      <c r="A12" s="101"/>
      <c r="B12" s="44"/>
      <c r="C12" s="133" t="s">
        <v>157</v>
      </c>
      <c r="D12" s="133"/>
      <c r="E12" s="134" t="s">
        <v>159</v>
      </c>
      <c r="F12" s="44" t="s">
        <v>154</v>
      </c>
      <c r="G12" s="44" t="s">
        <v>222</v>
      </c>
      <c r="H12" s="107" t="s">
        <v>155</v>
      </c>
      <c r="I12" s="107" t="s">
        <v>156</v>
      </c>
      <c r="J12" s="44"/>
      <c r="K12" s="107"/>
      <c r="L12" s="107"/>
      <c r="M12" s="107" t="s">
        <v>318</v>
      </c>
      <c r="N12" s="107" t="s">
        <v>318</v>
      </c>
      <c r="O12" s="44" t="s">
        <v>179</v>
      </c>
    </row>
    <row r="13" spans="1:15" s="140" customFormat="1" x14ac:dyDescent="0.3">
      <c r="A13" s="135"/>
      <c r="B13" s="44" t="s">
        <v>207</v>
      </c>
      <c r="C13" s="134"/>
      <c r="D13" s="134"/>
      <c r="E13" s="134"/>
      <c r="F13" s="44"/>
      <c r="G13" s="44"/>
      <c r="H13" s="107"/>
      <c r="I13" s="136">
        <v>3.5000000000000003E-2</v>
      </c>
      <c r="J13" s="137"/>
      <c r="K13" s="107"/>
      <c r="L13" s="107"/>
      <c r="M13" s="107"/>
      <c r="N13" s="107"/>
      <c r="O13" s="260">
        <v>0.03</v>
      </c>
    </row>
    <row r="14" spans="1:15" s="140" customFormat="1" ht="20.25" customHeight="1" x14ac:dyDescent="0.3">
      <c r="A14" s="141"/>
      <c r="B14" s="23" t="s">
        <v>108</v>
      </c>
      <c r="C14" s="151">
        <f t="shared" ref="C14:O14" si="0">SUM(C15:C26)</f>
        <v>0</v>
      </c>
      <c r="D14" s="151">
        <f t="shared" si="0"/>
        <v>0</v>
      </c>
      <c r="E14" s="151">
        <f t="shared" si="0"/>
        <v>0</v>
      </c>
      <c r="F14" s="151">
        <f t="shared" si="0"/>
        <v>0</v>
      </c>
      <c r="G14" s="151"/>
      <c r="H14" s="151">
        <f t="shared" si="0"/>
        <v>0</v>
      </c>
      <c r="I14" s="143">
        <f t="shared" si="0"/>
        <v>0</v>
      </c>
      <c r="J14" s="143">
        <f t="shared" si="0"/>
        <v>0</v>
      </c>
      <c r="K14" s="143">
        <f t="shared" si="0"/>
        <v>0</v>
      </c>
      <c r="L14" s="151">
        <f>SUM(L15:L26)</f>
        <v>0</v>
      </c>
      <c r="M14" s="261">
        <f>SUM(M15:M26)</f>
        <v>0</v>
      </c>
      <c r="N14" s="261">
        <f t="shared" si="0"/>
        <v>0</v>
      </c>
      <c r="O14" s="261">
        <f t="shared" si="0"/>
        <v>0</v>
      </c>
    </row>
    <row r="15" spans="1:15" ht="26.25" customHeight="1" x14ac:dyDescent="0.25">
      <c r="A15" s="116">
        <v>1</v>
      </c>
      <c r="B15" s="144" t="str">
        <f>РегистрИПН!B15</f>
        <v>Первый</v>
      </c>
      <c r="C15" s="145">
        <f>РегистрИПН!D15</f>
        <v>0</v>
      </c>
      <c r="D15" s="146"/>
      <c r="E15" s="147">
        <f>РегистрОПВ!L14</f>
        <v>0</v>
      </c>
      <c r="F15" s="148">
        <f>IF(РегистрОПВ!F14=1,0,C15-D15-E15)</f>
        <v>0</v>
      </c>
      <c r="G15" s="148">
        <f>Описание!E$16*7</f>
        <v>595000</v>
      </c>
      <c r="H15" s="148">
        <f>IF(F15=0,0,IF(F15&gt;Описание!E$20,Описание!E$20,IF(F15&gt;Описание!E$16,F15,Описание!E$16)))</f>
        <v>0</v>
      </c>
      <c r="I15" s="213">
        <f>H15*I$13</f>
        <v>0</v>
      </c>
      <c r="J15" s="146"/>
      <c r="K15" s="199">
        <f>IF(C15&lt;=Описание!E$26*25,РегистрИПН!I15*90/100,0)</f>
        <v>0</v>
      </c>
      <c r="L15" s="200">
        <f>IF(РегистрОПВ!F14=1,0,C15-J15-K15)</f>
        <v>0</v>
      </c>
      <c r="M15" s="262">
        <f>IF(L15=0,0,(IF(L15&lt;Описание!E$23,Описание!E$23,(L15))))</f>
        <v>0</v>
      </c>
      <c r="N15" s="262">
        <f>IF(M15&gt;Описание!E$22,Описание!E$22,M15)</f>
        <v>0</v>
      </c>
      <c r="O15" s="262">
        <f>N15*O$13</f>
        <v>0</v>
      </c>
    </row>
    <row r="16" spans="1:15" x14ac:dyDescent="0.25">
      <c r="A16" s="116">
        <v>2</v>
      </c>
      <c r="B16" s="144" t="str">
        <f>РегистрИПН!B16</f>
        <v>Второй</v>
      </c>
      <c r="C16" s="145">
        <f>РегистрИПН!D16</f>
        <v>0</v>
      </c>
      <c r="D16" s="146"/>
      <c r="E16" s="147">
        <f>РегистрОПВ!L15</f>
        <v>0</v>
      </c>
      <c r="F16" s="148">
        <f>IF(РегистрОПВ!F15=1,0,C16-D16-E16)</f>
        <v>0</v>
      </c>
      <c r="G16" s="148">
        <f>Описание!E$16*7</f>
        <v>595000</v>
      </c>
      <c r="H16" s="148">
        <f>IF(F16=0,0,IF(F16&gt;Описание!E$20,Описание!E$20,IF(F16&gt;Описание!E$16,F16,Описание!E$16)))</f>
        <v>0</v>
      </c>
      <c r="I16" s="213">
        <f>H16*I$13</f>
        <v>0</v>
      </c>
      <c r="J16" s="146"/>
      <c r="K16" s="199">
        <f>IF(C16&lt;=Описание!E$26*25,РегистрИПН!I16*90/100,0)</f>
        <v>0</v>
      </c>
      <c r="L16" s="200">
        <f>IF(РегистрОПВ!F15=1,0,C16-J16-K16)</f>
        <v>0</v>
      </c>
      <c r="M16" s="262">
        <f>IF(L16=0,0,(IF(L16&lt;Описание!E$23,Описание!E$23,(L16))))</f>
        <v>0</v>
      </c>
      <c r="N16" s="262">
        <f>IF(M16&gt;Описание!E$22,Описание!E$22,M16)</f>
        <v>0</v>
      </c>
      <c r="O16" s="262">
        <f t="shared" ref="O16:O26" si="1">N16*O$13</f>
        <v>0</v>
      </c>
    </row>
    <row r="17" spans="1:15" ht="20.399999999999999" customHeight="1" x14ac:dyDescent="0.25">
      <c r="A17" s="116">
        <v>3</v>
      </c>
      <c r="B17" s="144" t="str">
        <f>РегистрИПН!B17</f>
        <v>Третий</v>
      </c>
      <c r="C17" s="145">
        <f>РегистрИПН!D17</f>
        <v>0</v>
      </c>
      <c r="D17" s="150"/>
      <c r="E17" s="147">
        <f>РегистрОПВ!L16</f>
        <v>0</v>
      </c>
      <c r="F17" s="148">
        <f>IF(РегистрОПВ!F16=1,0,C17-D17-E17)</f>
        <v>0</v>
      </c>
      <c r="G17" s="148">
        <f>Описание!E$16*7</f>
        <v>595000</v>
      </c>
      <c r="H17" s="148">
        <f>IF(F17=0,0,IF(F17&gt;Описание!E$20,Описание!E$20,IF(F17&gt;Описание!E$16,F17,Описание!E$16)))</f>
        <v>0</v>
      </c>
      <c r="I17" s="213">
        <f t="shared" ref="I17:I26" si="2">H17*I$13</f>
        <v>0</v>
      </c>
      <c r="J17" s="150"/>
      <c r="K17" s="199">
        <f>IF(C17&lt;=Описание!E$26*25,РегистрИПН!I17*90/100,0)</f>
        <v>0</v>
      </c>
      <c r="L17" s="200">
        <f>IF(РегистрОПВ!F16=1,0,C17-J17-K17)</f>
        <v>0</v>
      </c>
      <c r="M17" s="262">
        <f>IF(L17=0,0,(IF(L17&lt;Описание!E$23,Описание!E$23,(L17))))</f>
        <v>0</v>
      </c>
      <c r="N17" s="262">
        <f>IF(M17&gt;Описание!E$22,Описание!E$22,M17)</f>
        <v>0</v>
      </c>
      <c r="O17" s="262">
        <f t="shared" si="1"/>
        <v>0</v>
      </c>
    </row>
    <row r="18" spans="1:15" x14ac:dyDescent="0.25">
      <c r="A18" s="116">
        <v>4</v>
      </c>
      <c r="B18" s="144" t="str">
        <f>РегистрИПН!B18</f>
        <v>Четвертый</v>
      </c>
      <c r="C18" s="145">
        <f>РегистрИПН!D18</f>
        <v>0</v>
      </c>
      <c r="D18" s="146"/>
      <c r="E18" s="147">
        <f>РегистрОПВ!L17</f>
        <v>0</v>
      </c>
      <c r="F18" s="148">
        <f>IF(РегистрОПВ!F17=1,0,C18-D18-E18)</f>
        <v>0</v>
      </c>
      <c r="G18" s="148">
        <f>Описание!E$16*7</f>
        <v>595000</v>
      </c>
      <c r="H18" s="148">
        <f>IF(F18=0,0,IF(F18&gt;Описание!E$20,Описание!E$20,IF(F18&gt;Описание!E$16,F18,Описание!E$16)))</f>
        <v>0</v>
      </c>
      <c r="I18" s="213">
        <f t="shared" si="2"/>
        <v>0</v>
      </c>
      <c r="J18" s="146"/>
      <c r="K18" s="199">
        <f>IF(C18&lt;=Описание!E$26*25,РегистрИПН!I18*90/100,0)</f>
        <v>0</v>
      </c>
      <c r="L18" s="200">
        <f>IF(РегистрОПВ!F17=1,0,C18-J18-K18)</f>
        <v>0</v>
      </c>
      <c r="M18" s="262">
        <f>IF(L18=0,0,(IF(L18&lt;Описание!E$23,Описание!E$23,(L18))))</f>
        <v>0</v>
      </c>
      <c r="N18" s="262">
        <f>IF(M18&gt;Описание!E$22,Описание!E$22,M18)</f>
        <v>0</v>
      </c>
      <c r="O18" s="262">
        <f t="shared" si="1"/>
        <v>0</v>
      </c>
    </row>
    <row r="19" spans="1:15" ht="14.4" customHeight="1" x14ac:dyDescent="0.25">
      <c r="A19" s="116">
        <v>5</v>
      </c>
      <c r="B19" s="144" t="str">
        <f>РегистрИПН!B19</f>
        <v>Пятый</v>
      </c>
      <c r="C19" s="145">
        <f>РегистрИПН!D19</f>
        <v>0</v>
      </c>
      <c r="D19" s="146"/>
      <c r="E19" s="147">
        <f>РегистрОПВ!L18</f>
        <v>0</v>
      </c>
      <c r="F19" s="148">
        <f>IF(РегистрОПВ!F18=1,0,C19-D19-E19)</f>
        <v>0</v>
      </c>
      <c r="G19" s="148">
        <f>Описание!E$16*7</f>
        <v>595000</v>
      </c>
      <c r="H19" s="148">
        <f>IF(F19=0,0,IF(F19&gt;Описание!E$20,Описание!E$20,IF(F19&gt;Описание!E$16,F19,Описание!E$16)))</f>
        <v>0</v>
      </c>
      <c r="I19" s="213">
        <f t="shared" si="2"/>
        <v>0</v>
      </c>
      <c r="J19" s="146"/>
      <c r="K19" s="199">
        <f>IF(C19&lt;=Описание!E$26*25,РегистрИПН!I19*90/100,0)</f>
        <v>0</v>
      </c>
      <c r="L19" s="200">
        <f>IF(РегистрОПВ!F18=1,0,C19-J19-K19)</f>
        <v>0</v>
      </c>
      <c r="M19" s="262">
        <f>IF(L19=0,0,(IF(L19&lt;Описание!E$23,Описание!E$23,(L19))))</f>
        <v>0</v>
      </c>
      <c r="N19" s="262">
        <f>IF(M19&gt;Описание!E$22,Описание!E$22,M19)</f>
        <v>0</v>
      </c>
      <c r="O19" s="262">
        <f t="shared" si="1"/>
        <v>0</v>
      </c>
    </row>
    <row r="20" spans="1:15" ht="14.4" customHeight="1" x14ac:dyDescent="0.25">
      <c r="A20" s="116">
        <v>6</v>
      </c>
      <c r="B20" s="144" t="str">
        <f>РегистрИПН!B20</f>
        <v>Шестой</v>
      </c>
      <c r="C20" s="145">
        <f>РегистрИПН!D20</f>
        <v>0</v>
      </c>
      <c r="D20" s="146"/>
      <c r="E20" s="147">
        <f>РегистрОПВ!L19</f>
        <v>0</v>
      </c>
      <c r="F20" s="148">
        <f>IF(РегистрОПВ!F19=1,0,C20-D20-E20)</f>
        <v>0</v>
      </c>
      <c r="G20" s="148">
        <f>Описание!E$16*7</f>
        <v>595000</v>
      </c>
      <c r="H20" s="148">
        <f>IF(F20=0,0,IF(F20&gt;Описание!E$20,Описание!E$20,IF(F20&gt;Описание!E$16,F20,Описание!E$16)))</f>
        <v>0</v>
      </c>
      <c r="I20" s="213">
        <f t="shared" si="2"/>
        <v>0</v>
      </c>
      <c r="J20" s="146"/>
      <c r="K20" s="199">
        <f>IF(C20&lt;=Описание!E$26*25,РегистрИПН!I20*90/100,0)</f>
        <v>0</v>
      </c>
      <c r="L20" s="200">
        <f>IF(РегистрОПВ!F19=1,0,C20-J20-K20)</f>
        <v>0</v>
      </c>
      <c r="M20" s="262">
        <f>IF(L20=0,0,(IF(L20&lt;Описание!E$23,Описание!E$23,(L20))))</f>
        <v>0</v>
      </c>
      <c r="N20" s="262">
        <f>IF(M20&gt;Описание!E$22,Описание!E$22,M20)</f>
        <v>0</v>
      </c>
      <c r="O20" s="262">
        <f t="shared" si="1"/>
        <v>0</v>
      </c>
    </row>
    <row r="21" spans="1:15" x14ac:dyDescent="0.25">
      <c r="A21" s="116">
        <v>7</v>
      </c>
      <c r="B21" s="144">
        <f>РегистрИПН!B21</f>
        <v>0</v>
      </c>
      <c r="C21" s="145">
        <f>РегистрИПН!D21</f>
        <v>0</v>
      </c>
      <c r="D21" s="146"/>
      <c r="E21" s="147">
        <f>РегистрОПВ!L20</f>
        <v>0</v>
      </c>
      <c r="F21" s="148">
        <f>IF(РегистрОПВ!F20=1,0,C21-D21-E21)</f>
        <v>0</v>
      </c>
      <c r="G21" s="148">
        <f>Описание!E$16*7</f>
        <v>595000</v>
      </c>
      <c r="H21" s="148">
        <f>IF(F21=0,0,IF(F21&gt;Описание!E$20,Описание!E$20,IF(F21&gt;Описание!E$16,F21,Описание!E$16)))</f>
        <v>0</v>
      </c>
      <c r="I21" s="213">
        <f t="shared" si="2"/>
        <v>0</v>
      </c>
      <c r="J21" s="146"/>
      <c r="K21" s="199">
        <f>IF(C21&lt;=Описание!E$26*25,РегистрИПН!I21*90/100,0)</f>
        <v>0</v>
      </c>
      <c r="L21" s="200">
        <f>IF(РегистрОПВ!F20=1,0,C21-J21-K21)</f>
        <v>0</v>
      </c>
      <c r="M21" s="262">
        <f>IF(L21=0,0,(IF(L21&lt;Описание!E$23,Описание!E$23,(L21))))</f>
        <v>0</v>
      </c>
      <c r="N21" s="262">
        <f>IF(M21&gt;Описание!E$22,Описание!E$22,M21)</f>
        <v>0</v>
      </c>
      <c r="O21" s="262">
        <f t="shared" si="1"/>
        <v>0</v>
      </c>
    </row>
    <row r="22" spans="1:15" ht="14.4" customHeight="1" x14ac:dyDescent="0.25">
      <c r="A22" s="116">
        <v>8</v>
      </c>
      <c r="B22" s="144">
        <f>РегистрИПН!B22</f>
        <v>0</v>
      </c>
      <c r="C22" s="145">
        <f>РегистрИПН!D22</f>
        <v>0</v>
      </c>
      <c r="D22" s="146"/>
      <c r="E22" s="147">
        <f>РегистрОПВ!L21</f>
        <v>0</v>
      </c>
      <c r="F22" s="148">
        <f>IF(РегистрОПВ!F21=1,0,C22-D22-E22)</f>
        <v>0</v>
      </c>
      <c r="G22" s="148">
        <f>Описание!E$16*7</f>
        <v>595000</v>
      </c>
      <c r="H22" s="148">
        <f>IF(F22=0,0,IF(F22&gt;Описание!E$20,Описание!E$20,IF(F22&gt;Описание!E$16,F22,Описание!E$16)))</f>
        <v>0</v>
      </c>
      <c r="I22" s="149">
        <f>H22*I$13</f>
        <v>0</v>
      </c>
      <c r="J22" s="146"/>
      <c r="K22" s="199">
        <f>IF(C22&lt;=Описание!E$26*25,РегистрИПН!I22*90/100,0)</f>
        <v>0</v>
      </c>
      <c r="L22" s="200">
        <f>IF(РегистрОПВ!F21=1,0,C22-J22-K22)</f>
        <v>0</v>
      </c>
      <c r="M22" s="262">
        <f>IF(L22=0,0,(IF(L22&lt;Описание!E$23,Описание!E$23,(L22))))</f>
        <v>0</v>
      </c>
      <c r="N22" s="262">
        <f>IF(M22&gt;Описание!E$22,Описание!E$22,M22)</f>
        <v>0</v>
      </c>
      <c r="O22" s="262">
        <f t="shared" si="1"/>
        <v>0</v>
      </c>
    </row>
    <row r="23" spans="1:15" ht="14.4" customHeight="1" x14ac:dyDescent="0.25">
      <c r="A23" s="116">
        <v>9</v>
      </c>
      <c r="B23" s="144">
        <f>РегистрИПН!B23</f>
        <v>0</v>
      </c>
      <c r="C23" s="145">
        <f>РегистрИПН!D23</f>
        <v>0</v>
      </c>
      <c r="D23" s="146"/>
      <c r="E23" s="147">
        <f>РегистрОПВ!L22</f>
        <v>0</v>
      </c>
      <c r="F23" s="148">
        <f>IF(РегистрОПВ!F22=1,0,C23-D23-E23)</f>
        <v>0</v>
      </c>
      <c r="G23" s="148">
        <f>Описание!E$16*7</f>
        <v>595000</v>
      </c>
      <c r="H23" s="148">
        <f>IF(F23=0,0,IF(F23&gt;Описание!E$20,Описание!E$20,IF(F23&gt;Описание!E$16,F23,Описание!E$16)))</f>
        <v>0</v>
      </c>
      <c r="I23" s="149">
        <f t="shared" si="2"/>
        <v>0</v>
      </c>
      <c r="J23" s="146"/>
      <c r="K23" s="199">
        <f>IF(C23&lt;=Описание!E$26*25,РегистрИПН!I23*90/100,0)</f>
        <v>0</v>
      </c>
      <c r="L23" s="200">
        <f>IF(РегистрОПВ!F22=1,0,C23-J23-K23)</f>
        <v>0</v>
      </c>
      <c r="M23" s="262">
        <f>IF(L23=0,0,(IF(L23&lt;Описание!E$23,Описание!E$23,(L23))))</f>
        <v>0</v>
      </c>
      <c r="N23" s="262">
        <f>IF(M23&gt;Описание!E$22,Описание!E$22,M23)</f>
        <v>0</v>
      </c>
      <c r="O23" s="262">
        <f t="shared" si="1"/>
        <v>0</v>
      </c>
    </row>
    <row r="24" spans="1:15" ht="20.399999999999999" customHeight="1" x14ac:dyDescent="0.25">
      <c r="A24" s="116">
        <v>10</v>
      </c>
      <c r="B24" s="144">
        <f>РегистрИПН!B24</f>
        <v>0</v>
      </c>
      <c r="C24" s="145">
        <f>РегистрИПН!D24</f>
        <v>0</v>
      </c>
      <c r="D24" s="146"/>
      <c r="E24" s="147">
        <f>РегистрОПВ!L23</f>
        <v>0</v>
      </c>
      <c r="F24" s="148">
        <f>IF(РегистрОПВ!F23=1,0,C24-D24-E24)</f>
        <v>0</v>
      </c>
      <c r="G24" s="148">
        <f>Описание!E$16*7</f>
        <v>595000</v>
      </c>
      <c r="H24" s="148">
        <f>IF(F24=0,0,IF(F24&gt;Описание!E$20,Описание!E$20,IF(F24&gt;Описание!E$16,F24,Описание!E$16)))</f>
        <v>0</v>
      </c>
      <c r="I24" s="149">
        <f t="shared" si="2"/>
        <v>0</v>
      </c>
      <c r="J24" s="146"/>
      <c r="K24" s="199">
        <f>IF(C24&lt;=Описание!E$26*25,РегистрИПН!I24*90/100,0)</f>
        <v>0</v>
      </c>
      <c r="L24" s="200">
        <f>IF(РегистрОПВ!F23=1,0,C24-J24-K24)</f>
        <v>0</v>
      </c>
      <c r="M24" s="262">
        <f>IF(L24=0,0,(IF(L24&lt;Описание!E$23,Описание!E$23,(L24))))</f>
        <v>0</v>
      </c>
      <c r="N24" s="262">
        <f>IF(M24&gt;Описание!E$22,Описание!E$22,M24)</f>
        <v>0</v>
      </c>
      <c r="O24" s="262">
        <f t="shared" si="1"/>
        <v>0</v>
      </c>
    </row>
    <row r="25" spans="1:15" ht="14.4" customHeight="1" x14ac:dyDescent="0.25">
      <c r="A25" s="116">
        <v>11</v>
      </c>
      <c r="B25" s="144">
        <f>РегистрИПН!B25</f>
        <v>0</v>
      </c>
      <c r="C25" s="145">
        <f>РегистрИПН!D25</f>
        <v>0</v>
      </c>
      <c r="D25" s="146"/>
      <c r="E25" s="147">
        <f>РегистрОПВ!L24</f>
        <v>0</v>
      </c>
      <c r="F25" s="148">
        <f>IF(РегистрОПВ!F24=1,0,C25-D25-E25)</f>
        <v>0</v>
      </c>
      <c r="G25" s="148">
        <f>Описание!E$16*7</f>
        <v>595000</v>
      </c>
      <c r="H25" s="148">
        <f>IF(F25=0,0,IF(F25&gt;Описание!E$20,Описание!E$20,IF(F25&gt;Описание!E$16,F25,Описание!E$16)))</f>
        <v>0</v>
      </c>
      <c r="I25" s="149">
        <f t="shared" si="2"/>
        <v>0</v>
      </c>
      <c r="J25" s="146"/>
      <c r="K25" s="199">
        <f>IF(C25&lt;=Описание!E$26*25,РегистрИПН!I25*90/100,0)</f>
        <v>0</v>
      </c>
      <c r="L25" s="200">
        <f>IF(РегистрОПВ!F24=1,0,C25-J25-K25)</f>
        <v>0</v>
      </c>
      <c r="M25" s="262">
        <f>IF(L25=0,0,(IF(L25&lt;Описание!E$23,Описание!E$23,(L25))))</f>
        <v>0</v>
      </c>
      <c r="N25" s="262">
        <f>IF(M25&gt;Описание!E$22,Описание!E$22,M25)</f>
        <v>0</v>
      </c>
      <c r="O25" s="262">
        <f t="shared" si="1"/>
        <v>0</v>
      </c>
    </row>
    <row r="26" spans="1:15" x14ac:dyDescent="0.25">
      <c r="A26" s="116">
        <v>12</v>
      </c>
      <c r="B26" s="144">
        <f>РегистрИПН!B26</f>
        <v>0</v>
      </c>
      <c r="C26" s="145">
        <f>РегистрИПН!D26</f>
        <v>0</v>
      </c>
      <c r="D26" s="146"/>
      <c r="E26" s="147">
        <f>РегистрОПВ!L25</f>
        <v>0</v>
      </c>
      <c r="F26" s="148">
        <f>IF(РегистрОПВ!F25=1,0,C26-D26-E26)</f>
        <v>0</v>
      </c>
      <c r="G26" s="148">
        <f>Описание!E$16*7</f>
        <v>595000</v>
      </c>
      <c r="H26" s="148">
        <f>IF(F26=0,0,IF(F26&gt;Описание!E$20,Описание!E$20,IF(F26&gt;Описание!E$16,F26,Описание!E$16)))</f>
        <v>0</v>
      </c>
      <c r="I26" s="149">
        <f t="shared" si="2"/>
        <v>0</v>
      </c>
      <c r="J26" s="146"/>
      <c r="K26" s="199">
        <f>IF(C26&lt;=Описание!E$26*25,РегистрИПН!I26*90/100,0)</f>
        <v>0</v>
      </c>
      <c r="L26" s="200">
        <f>IF(РегистрОПВ!F25=1,0,C26-J26-K26)</f>
        <v>0</v>
      </c>
      <c r="M26" s="262">
        <f>IF(L26=0,0,(IF(L26&lt;Описание!E$23,Описание!E$23,(L26))))</f>
        <v>0</v>
      </c>
      <c r="N26" s="262">
        <f>IF(M26&gt;Описание!E$22,Описание!E$22,M26)</f>
        <v>0</v>
      </c>
      <c r="O26" s="262">
        <f t="shared" si="1"/>
        <v>0</v>
      </c>
    </row>
    <row r="27" spans="1:15" x14ac:dyDescent="0.25">
      <c r="A27" s="141"/>
      <c r="B27" s="23" t="s">
        <v>148</v>
      </c>
      <c r="C27" s="151">
        <f>SUM(C28:C39)</f>
        <v>0</v>
      </c>
      <c r="D27" s="151">
        <f t="shared" ref="D27:O27" si="3">SUM(D28:D39)</f>
        <v>0</v>
      </c>
      <c r="E27" s="151">
        <f t="shared" si="3"/>
        <v>0</v>
      </c>
      <c r="F27" s="151">
        <f t="shared" si="3"/>
        <v>0</v>
      </c>
      <c r="G27" s="151"/>
      <c r="H27" s="151">
        <f t="shared" si="3"/>
        <v>0</v>
      </c>
      <c r="I27" s="151">
        <f t="shared" si="3"/>
        <v>0</v>
      </c>
      <c r="J27" s="151">
        <f t="shared" si="3"/>
        <v>0</v>
      </c>
      <c r="K27" s="151">
        <f t="shared" si="3"/>
        <v>0</v>
      </c>
      <c r="L27" s="151">
        <f t="shared" si="3"/>
        <v>0</v>
      </c>
      <c r="M27" s="261">
        <f t="shared" si="3"/>
        <v>0</v>
      </c>
      <c r="N27" s="261">
        <f t="shared" si="3"/>
        <v>0</v>
      </c>
      <c r="O27" s="261">
        <f t="shared" si="3"/>
        <v>0</v>
      </c>
    </row>
    <row r="28" spans="1:15" ht="14.4" customHeight="1" x14ac:dyDescent="0.25">
      <c r="A28" s="116">
        <v>1</v>
      </c>
      <c r="B28" s="144" t="str">
        <f>РегистрИПН!B28</f>
        <v>Первый</v>
      </c>
      <c r="C28" s="145">
        <f>РегистрИПН!D28</f>
        <v>0</v>
      </c>
      <c r="D28" s="150"/>
      <c r="E28" s="147">
        <f>РегистрОПВ!L27</f>
        <v>0</v>
      </c>
      <c r="F28" s="148">
        <f>IF(РегистрОПВ!F27=1,0,C28-D28-E28)</f>
        <v>0</v>
      </c>
      <c r="G28" s="148">
        <f>Описание!E$16*7</f>
        <v>595000</v>
      </c>
      <c r="H28" s="148">
        <f>IF(F28=0,0,IF(F28&gt;Описание!E$20,Описание!E$20,IF(F28&gt;Описание!E$16,F28,Описание!E$16)))</f>
        <v>0</v>
      </c>
      <c r="I28" s="149">
        <f>H28*I$13</f>
        <v>0</v>
      </c>
      <c r="J28" s="150"/>
      <c r="K28" s="199">
        <f>IF(C28&lt;=Описание!E$26*25,РегистрИПН!I28*90/100,0)</f>
        <v>0</v>
      </c>
      <c r="L28" s="200">
        <f>IF(РегистрОПВ!F27=1,0,C28-J28-K28)</f>
        <v>0</v>
      </c>
      <c r="M28" s="262">
        <f>IF(L28=0,0,(IF(L28&lt;Описание!E$23,Описание!E$23,(L28))))</f>
        <v>0</v>
      </c>
      <c r="N28" s="262">
        <f>IF(M28&gt;Описание!E$22,Описание!E$22,M28)</f>
        <v>0</v>
      </c>
      <c r="O28" s="262">
        <f>N28*O$13</f>
        <v>0</v>
      </c>
    </row>
    <row r="29" spans="1:15" ht="15" customHeight="1" x14ac:dyDescent="0.25">
      <c r="A29" s="116">
        <v>2</v>
      </c>
      <c r="B29" s="144" t="str">
        <f>РегистрИПН!B29</f>
        <v>Второй</v>
      </c>
      <c r="C29" s="145">
        <f>РегистрИПН!D29</f>
        <v>0</v>
      </c>
      <c r="D29" s="150"/>
      <c r="E29" s="147">
        <f>РегистрОПВ!L28</f>
        <v>0</v>
      </c>
      <c r="F29" s="148">
        <f>IF(РегистрОПВ!F28=1,0,C29-D29-E29)</f>
        <v>0</v>
      </c>
      <c r="G29" s="148">
        <f>Описание!E$16*7</f>
        <v>595000</v>
      </c>
      <c r="H29" s="148">
        <f>IF(F29=0,0,IF(F29&gt;Описание!E$20,Описание!E$20,IF(F29&gt;Описание!E$16,F29,Описание!E$16)))</f>
        <v>0</v>
      </c>
      <c r="I29" s="149">
        <f>H29*I$13</f>
        <v>0</v>
      </c>
      <c r="J29" s="150"/>
      <c r="K29" s="199">
        <f>IF(C29&lt;=Описание!E$26*25,РегистрИПН!I29*90/100,0)</f>
        <v>0</v>
      </c>
      <c r="L29" s="200">
        <f>IF(РегистрОПВ!F28=1,0,C29-J29-K29)</f>
        <v>0</v>
      </c>
      <c r="M29" s="262">
        <f>IF(L29=0,0,(IF(L29&lt;Описание!E$23,Описание!E$23,(L29))))</f>
        <v>0</v>
      </c>
      <c r="N29" s="262">
        <f>IF(M29&gt;Описание!E$22,Описание!E$22,M29)</f>
        <v>0</v>
      </c>
      <c r="O29" s="262">
        <f t="shared" ref="O29:O39" si="4">N29*O$13</f>
        <v>0</v>
      </c>
    </row>
    <row r="30" spans="1:15" x14ac:dyDescent="0.25">
      <c r="A30" s="116">
        <v>3</v>
      </c>
      <c r="B30" s="144" t="str">
        <f>РегистрИПН!B30</f>
        <v>Третий</v>
      </c>
      <c r="C30" s="145">
        <f>РегистрИПН!D30</f>
        <v>0</v>
      </c>
      <c r="D30" s="150"/>
      <c r="E30" s="147">
        <f>РегистрОПВ!L29</f>
        <v>0</v>
      </c>
      <c r="F30" s="148">
        <f>IF(РегистрОПВ!F29=1,0,C30-D30-E30)</f>
        <v>0</v>
      </c>
      <c r="G30" s="148">
        <f>Описание!E$16*7</f>
        <v>595000</v>
      </c>
      <c r="H30" s="148">
        <f>IF(F30=0,0,IF(F30&gt;Описание!E$20,Описание!E$20,IF(F30&gt;Описание!E$16,F30,Описание!E$16)))</f>
        <v>0</v>
      </c>
      <c r="I30" s="149">
        <f t="shared" ref="I30:I39" si="5">H30*I$13</f>
        <v>0</v>
      </c>
      <c r="J30" s="150"/>
      <c r="K30" s="199">
        <f>IF(C30&lt;=Описание!E$26*25,РегистрИПН!I30*90/100,0)</f>
        <v>0</v>
      </c>
      <c r="L30" s="200">
        <f>IF(РегистрОПВ!F29=1,0,C30-J30-K30)</f>
        <v>0</v>
      </c>
      <c r="M30" s="262">
        <f>IF(L30=0,0,(IF(L30&lt;Описание!E$23,Описание!E$23,(L30))))</f>
        <v>0</v>
      </c>
      <c r="N30" s="262">
        <f>IF(M30&gt;Описание!E$22,Описание!E$22,M30)</f>
        <v>0</v>
      </c>
      <c r="O30" s="262">
        <f t="shared" si="4"/>
        <v>0</v>
      </c>
    </row>
    <row r="31" spans="1:15" x14ac:dyDescent="0.25">
      <c r="A31" s="116">
        <v>4</v>
      </c>
      <c r="B31" s="144" t="str">
        <f>РегистрИПН!B31</f>
        <v>Четвертый</v>
      </c>
      <c r="C31" s="145">
        <f>РегистрИПН!D31</f>
        <v>0</v>
      </c>
      <c r="D31" s="150"/>
      <c r="E31" s="147">
        <f>РегистрОПВ!L30</f>
        <v>0</v>
      </c>
      <c r="F31" s="148">
        <f>IF(РегистрОПВ!F30=1,0,C31-D31-E31)</f>
        <v>0</v>
      </c>
      <c r="G31" s="148">
        <f>Описание!E$16*7</f>
        <v>595000</v>
      </c>
      <c r="H31" s="148">
        <f>IF(F31=0,0,IF(F31&gt;Описание!E$20,Описание!E$20,IF(F31&gt;Описание!E$16,F31,Описание!E$16)))</f>
        <v>0</v>
      </c>
      <c r="I31" s="149">
        <f t="shared" si="5"/>
        <v>0</v>
      </c>
      <c r="J31" s="150"/>
      <c r="K31" s="199">
        <f>IF(C31&lt;=Описание!E$26*25,РегистрИПН!I31*90/100,0)</f>
        <v>0</v>
      </c>
      <c r="L31" s="200">
        <f>IF(РегистрОПВ!F30=1,0,C31-J31-K31)</f>
        <v>0</v>
      </c>
      <c r="M31" s="262">
        <f>IF(L31=0,0,(IF(L31&lt;Описание!E$23,Описание!E$23,(L31))))</f>
        <v>0</v>
      </c>
      <c r="N31" s="262">
        <f>IF(M31&gt;Описание!E$22,Описание!E$22,M31)</f>
        <v>0</v>
      </c>
      <c r="O31" s="262">
        <f t="shared" si="4"/>
        <v>0</v>
      </c>
    </row>
    <row r="32" spans="1:15" x14ac:dyDescent="0.25">
      <c r="A32" s="116">
        <v>5</v>
      </c>
      <c r="B32" s="144" t="str">
        <f>РегистрИПН!B32</f>
        <v>Пятый</v>
      </c>
      <c r="C32" s="145">
        <f>РегистрИПН!D32</f>
        <v>0</v>
      </c>
      <c r="D32" s="150"/>
      <c r="E32" s="147">
        <f>РегистрОПВ!L31</f>
        <v>0</v>
      </c>
      <c r="F32" s="148">
        <f>IF(РегистрОПВ!F31=1,0,C32-D32-E32)</f>
        <v>0</v>
      </c>
      <c r="G32" s="148">
        <f>Описание!E$16*7</f>
        <v>595000</v>
      </c>
      <c r="H32" s="148">
        <f>IF(F32=0,0,IF(F32&gt;Описание!E$20,Описание!E$20,IF(F32&gt;Описание!E$16,F32,Описание!E$16)))</f>
        <v>0</v>
      </c>
      <c r="I32" s="149">
        <f t="shared" si="5"/>
        <v>0</v>
      </c>
      <c r="J32" s="150"/>
      <c r="K32" s="199">
        <f>IF(C32&lt;=Описание!E$26*25,РегистрИПН!I32*90/100,0)</f>
        <v>0</v>
      </c>
      <c r="L32" s="200">
        <f>IF(РегистрОПВ!F31=1,0,C32-J32-K32)</f>
        <v>0</v>
      </c>
      <c r="M32" s="262">
        <f>IF(L32=0,0,(IF(L32&lt;Описание!E$23,Описание!E$23,(L32))))</f>
        <v>0</v>
      </c>
      <c r="N32" s="262">
        <f>IF(M32&gt;Описание!E$22,Описание!E$22,M32)</f>
        <v>0</v>
      </c>
      <c r="O32" s="262">
        <f t="shared" si="4"/>
        <v>0</v>
      </c>
    </row>
    <row r="33" spans="1:15" x14ac:dyDescent="0.25">
      <c r="A33" s="116">
        <v>6</v>
      </c>
      <c r="B33" s="144" t="str">
        <f>РегистрИПН!B33</f>
        <v>Шестой</v>
      </c>
      <c r="C33" s="145">
        <f>РегистрИПН!D33</f>
        <v>0</v>
      </c>
      <c r="D33" s="150"/>
      <c r="E33" s="147">
        <f>РегистрОПВ!L32</f>
        <v>0</v>
      </c>
      <c r="F33" s="148">
        <f>IF(РегистрОПВ!F32=1,0,C33-D33-E33)</f>
        <v>0</v>
      </c>
      <c r="G33" s="148">
        <f>Описание!E$16*7</f>
        <v>595000</v>
      </c>
      <c r="H33" s="148">
        <f>IF(F33=0,0,IF(F33&gt;Описание!E$20,Описание!E$20,IF(F33&gt;Описание!E$16,F33,Описание!E$16)))</f>
        <v>0</v>
      </c>
      <c r="I33" s="149">
        <f t="shared" si="5"/>
        <v>0</v>
      </c>
      <c r="J33" s="146"/>
      <c r="K33" s="199">
        <f>IF(C33&lt;=Описание!E$26*25,РегистрИПН!I33*90/100,0)</f>
        <v>0</v>
      </c>
      <c r="L33" s="200">
        <f>IF(РегистрОПВ!F32=1,0,C33-J33-K33)</f>
        <v>0</v>
      </c>
      <c r="M33" s="262">
        <f>IF(L33=0,0,(IF(L33&lt;Описание!E$23,Описание!E$23,(L33))))</f>
        <v>0</v>
      </c>
      <c r="N33" s="262">
        <f>IF(M33&gt;Описание!E$22,Описание!E$22,M33)</f>
        <v>0</v>
      </c>
      <c r="O33" s="262">
        <f t="shared" si="4"/>
        <v>0</v>
      </c>
    </row>
    <row r="34" spans="1:15" ht="15" customHeight="1" x14ac:dyDescent="0.25">
      <c r="A34" s="116">
        <v>7</v>
      </c>
      <c r="B34" s="144">
        <f>РегистрИПН!B34</f>
        <v>0</v>
      </c>
      <c r="C34" s="145">
        <f>РегистрИПН!D34</f>
        <v>0</v>
      </c>
      <c r="D34" s="150"/>
      <c r="E34" s="147">
        <f>РегистрОПВ!L33</f>
        <v>0</v>
      </c>
      <c r="F34" s="148">
        <f>IF(РегистрОПВ!F33=1,0,C34-D34-E34)</f>
        <v>0</v>
      </c>
      <c r="G34" s="148">
        <f>Описание!E$16*7</f>
        <v>595000</v>
      </c>
      <c r="H34" s="148">
        <f>IF(F34=0,0,IF(F34&gt;Описание!E$20,Описание!E$20,IF(F34&gt;Описание!E$16,F34,Описание!E$16)))</f>
        <v>0</v>
      </c>
      <c r="I34" s="149">
        <f t="shared" si="5"/>
        <v>0</v>
      </c>
      <c r="J34" s="150"/>
      <c r="K34" s="199">
        <f>IF(C34&lt;=Описание!E$26*25,РегистрИПН!I34*90/100,0)</f>
        <v>0</v>
      </c>
      <c r="L34" s="200">
        <f>IF(РегистрОПВ!F33=1,0,C34-J34-K34)</f>
        <v>0</v>
      </c>
      <c r="M34" s="262">
        <f>IF(L34=0,0,(IF(L34&lt;Описание!E$23,Описание!E$23,(L34))))</f>
        <v>0</v>
      </c>
      <c r="N34" s="262">
        <f>IF(M34&gt;Описание!E$22,Описание!E$22,M34)</f>
        <v>0</v>
      </c>
      <c r="O34" s="262">
        <f t="shared" si="4"/>
        <v>0</v>
      </c>
    </row>
    <row r="35" spans="1:15" ht="22.5" customHeight="1" x14ac:dyDescent="0.25">
      <c r="A35" s="116">
        <v>8</v>
      </c>
      <c r="B35" s="144">
        <f>РегистрИПН!B35</f>
        <v>0</v>
      </c>
      <c r="C35" s="145">
        <f>РегистрИПН!D35</f>
        <v>0</v>
      </c>
      <c r="D35" s="150"/>
      <c r="E35" s="147">
        <f>РегистрОПВ!L34</f>
        <v>0</v>
      </c>
      <c r="F35" s="148">
        <f>IF(РегистрОПВ!F34=1,0,C35-D35-E35)</f>
        <v>0</v>
      </c>
      <c r="G35" s="148">
        <f>Описание!E$16*7</f>
        <v>595000</v>
      </c>
      <c r="H35" s="148">
        <f>IF(F35=0,0,IF(F35&gt;Описание!E$20,Описание!E$20,IF(F35&gt;Описание!E$16,F35,Описание!E$16)))</f>
        <v>0</v>
      </c>
      <c r="I35" s="149">
        <f t="shared" si="5"/>
        <v>0</v>
      </c>
      <c r="J35" s="150"/>
      <c r="K35" s="199">
        <f>IF(C35&lt;=Описание!E$26*25,РегистрИПН!I35*90/100,0)</f>
        <v>0</v>
      </c>
      <c r="L35" s="200">
        <f>IF(РегистрОПВ!F34=1,0,C35-J35-K35)</f>
        <v>0</v>
      </c>
      <c r="M35" s="262">
        <f>IF(L35=0,0,(IF(L35&lt;Описание!E$23,Описание!E$23,(L35))))</f>
        <v>0</v>
      </c>
      <c r="N35" s="262">
        <f>IF(M35&gt;Описание!E$22,Описание!E$22,M35)</f>
        <v>0</v>
      </c>
      <c r="O35" s="262">
        <f t="shared" si="4"/>
        <v>0</v>
      </c>
    </row>
    <row r="36" spans="1:15" ht="15" customHeight="1" x14ac:dyDescent="0.25">
      <c r="A36" s="116">
        <v>9</v>
      </c>
      <c r="B36" s="144">
        <f>РегистрИПН!B36</f>
        <v>0</v>
      </c>
      <c r="C36" s="145">
        <f>РегистрИПН!D36</f>
        <v>0</v>
      </c>
      <c r="D36" s="150"/>
      <c r="E36" s="147">
        <f>РегистрОПВ!L35</f>
        <v>0</v>
      </c>
      <c r="F36" s="148">
        <f>IF(РегистрОПВ!F35=1,0,C36-D36-E36)</f>
        <v>0</v>
      </c>
      <c r="G36" s="148">
        <f>Описание!E$16*7</f>
        <v>595000</v>
      </c>
      <c r="H36" s="148">
        <f>IF(F36=0,0,IF(F36&gt;Описание!E$20,Описание!E$20,IF(F36&gt;Описание!E$16,F36,Описание!E$16)))</f>
        <v>0</v>
      </c>
      <c r="I36" s="149">
        <f t="shared" si="5"/>
        <v>0</v>
      </c>
      <c r="J36" s="150"/>
      <c r="K36" s="199">
        <f>IF(C36&lt;=Описание!E$26*25,РегистрИПН!I36*90/100,0)</f>
        <v>0</v>
      </c>
      <c r="L36" s="200">
        <f>IF(РегистрОПВ!F35=1,0,C36-J36-K36)</f>
        <v>0</v>
      </c>
      <c r="M36" s="262">
        <f>IF(L36=0,0,(IF(L36&lt;Описание!E$23,Описание!E$23,(L36))))</f>
        <v>0</v>
      </c>
      <c r="N36" s="262">
        <f>IF(M36&gt;Описание!E$22,Описание!E$22,M36)</f>
        <v>0</v>
      </c>
      <c r="O36" s="262">
        <f t="shared" si="4"/>
        <v>0</v>
      </c>
    </row>
    <row r="37" spans="1:15" ht="22.5" customHeight="1" x14ac:dyDescent="0.25">
      <c r="A37" s="116">
        <v>10</v>
      </c>
      <c r="B37" s="144">
        <f>РегистрИПН!B37</f>
        <v>0</v>
      </c>
      <c r="C37" s="145">
        <f>РегистрИПН!D37</f>
        <v>0</v>
      </c>
      <c r="D37" s="150"/>
      <c r="E37" s="147">
        <f>РегистрОПВ!L36</f>
        <v>0</v>
      </c>
      <c r="F37" s="148">
        <f>IF(РегистрОПВ!F36=1,0,C37-D37-E37)</f>
        <v>0</v>
      </c>
      <c r="G37" s="148">
        <f>Описание!E$16*7</f>
        <v>595000</v>
      </c>
      <c r="H37" s="148">
        <f>IF(F37=0,0,IF(F37&gt;Описание!E$20,Описание!E$20,IF(F37&gt;Описание!E$16,F37,Описание!E$16)))</f>
        <v>0</v>
      </c>
      <c r="I37" s="149">
        <f t="shared" si="5"/>
        <v>0</v>
      </c>
      <c r="J37" s="150"/>
      <c r="K37" s="199">
        <f>IF(C37&lt;=Описание!E$26*25,РегистрИПН!I37*90/100,0)</f>
        <v>0</v>
      </c>
      <c r="L37" s="200">
        <f>IF(РегистрОПВ!F36=1,0,C37-J37-K37)</f>
        <v>0</v>
      </c>
      <c r="M37" s="262">
        <f>IF(L37=0,0,(IF(L37&lt;Описание!E$23,Описание!E$23,(L37))))</f>
        <v>0</v>
      </c>
      <c r="N37" s="262">
        <f>IF(M37&gt;Описание!E$22,Описание!E$22,M37)</f>
        <v>0</v>
      </c>
      <c r="O37" s="262">
        <f t="shared" si="4"/>
        <v>0</v>
      </c>
    </row>
    <row r="38" spans="1:15" ht="15" customHeight="1" x14ac:dyDescent="0.25">
      <c r="A38" s="116">
        <v>11</v>
      </c>
      <c r="B38" s="144">
        <f>РегистрИПН!B38</f>
        <v>0</v>
      </c>
      <c r="C38" s="145">
        <f>РегистрИПН!D38</f>
        <v>0</v>
      </c>
      <c r="D38" s="150"/>
      <c r="E38" s="147">
        <f>РегистрОПВ!L37</f>
        <v>0</v>
      </c>
      <c r="F38" s="148">
        <f>IF(РегистрОПВ!F37=1,0,C38-D38-E38)</f>
        <v>0</v>
      </c>
      <c r="G38" s="148">
        <f>Описание!E$16*7</f>
        <v>595000</v>
      </c>
      <c r="H38" s="148">
        <f>IF(F38=0,0,IF(F38&gt;Описание!E$20,Описание!E$20,IF(F38&gt;Описание!E$16,F38,Описание!E$16)))</f>
        <v>0</v>
      </c>
      <c r="I38" s="149">
        <f t="shared" si="5"/>
        <v>0</v>
      </c>
      <c r="J38" s="150"/>
      <c r="K38" s="199">
        <f>IF(C38&lt;=Описание!E$26*25,РегистрИПН!I38*90/100,0)</f>
        <v>0</v>
      </c>
      <c r="L38" s="200">
        <f>IF(РегистрОПВ!F37=1,0,C38-J38-K38)</f>
        <v>0</v>
      </c>
      <c r="M38" s="262">
        <f>IF(L38=0,0,(IF(L38&lt;Описание!E$23,Описание!E$23,(L38))))</f>
        <v>0</v>
      </c>
      <c r="N38" s="262">
        <f>IF(M38&gt;Описание!E$22,Описание!E$22,M38)</f>
        <v>0</v>
      </c>
      <c r="O38" s="262">
        <f t="shared" si="4"/>
        <v>0</v>
      </c>
    </row>
    <row r="39" spans="1:15" x14ac:dyDescent="0.25">
      <c r="A39" s="116">
        <v>12</v>
      </c>
      <c r="B39" s="144">
        <f>РегистрИПН!B39</f>
        <v>0</v>
      </c>
      <c r="C39" s="145">
        <f>РегистрИПН!D39</f>
        <v>0</v>
      </c>
      <c r="D39" s="150"/>
      <c r="E39" s="147">
        <f>РегистрОПВ!L38</f>
        <v>0</v>
      </c>
      <c r="F39" s="148">
        <f>IF(РегистрОПВ!F38=1,0,C39-D39-E39)</f>
        <v>0</v>
      </c>
      <c r="G39" s="148">
        <f>Описание!E$16*7</f>
        <v>595000</v>
      </c>
      <c r="H39" s="148">
        <f>IF(F39=0,0,IF(F39&gt;Описание!E$20,Описание!E$20,IF(F39&gt;Описание!E$16,F39,Описание!E$16)))</f>
        <v>0</v>
      </c>
      <c r="I39" s="149">
        <f t="shared" si="5"/>
        <v>0</v>
      </c>
      <c r="J39" s="150"/>
      <c r="K39" s="199">
        <f>IF(C39&lt;=Описание!E$26*25,РегистрИПН!I39*90/100,0)</f>
        <v>0</v>
      </c>
      <c r="L39" s="200">
        <f>IF(РегистрОПВ!F38=1,0,C39-J39-K39)</f>
        <v>0</v>
      </c>
      <c r="M39" s="262">
        <f>IF(L39=0,0,(IF(L39&lt;Описание!E$23,Описание!E$23,(L39))))</f>
        <v>0</v>
      </c>
      <c r="N39" s="262">
        <f>IF(M39&gt;Описание!E$22,Описание!E$22,M39)</f>
        <v>0</v>
      </c>
      <c r="O39" s="262">
        <f t="shared" si="4"/>
        <v>0</v>
      </c>
    </row>
    <row r="40" spans="1:15" ht="16.5" customHeight="1" x14ac:dyDescent="0.25">
      <c r="A40" s="141"/>
      <c r="B40" s="23" t="s">
        <v>149</v>
      </c>
      <c r="C40" s="142">
        <f t="shared" ref="C40:O40" si="6">SUM(C41:C53)</f>
        <v>0</v>
      </c>
      <c r="D40" s="142">
        <f t="shared" si="6"/>
        <v>0</v>
      </c>
      <c r="E40" s="142">
        <f t="shared" si="6"/>
        <v>0</v>
      </c>
      <c r="F40" s="142">
        <f t="shared" si="6"/>
        <v>0</v>
      </c>
      <c r="G40" s="142"/>
      <c r="H40" s="142">
        <f t="shared" si="6"/>
        <v>0</v>
      </c>
      <c r="I40" s="151">
        <f t="shared" si="6"/>
        <v>0</v>
      </c>
      <c r="J40" s="142">
        <f t="shared" si="6"/>
        <v>0</v>
      </c>
      <c r="K40" s="151">
        <f t="shared" si="6"/>
        <v>0</v>
      </c>
      <c r="L40" s="201">
        <f t="shared" si="6"/>
        <v>0</v>
      </c>
      <c r="M40" s="263">
        <f t="shared" si="6"/>
        <v>0</v>
      </c>
      <c r="N40" s="263">
        <f t="shared" si="6"/>
        <v>0</v>
      </c>
      <c r="O40" s="263">
        <f t="shared" si="6"/>
        <v>0</v>
      </c>
    </row>
    <row r="41" spans="1:15" x14ac:dyDescent="0.25">
      <c r="A41" s="116">
        <v>1</v>
      </c>
      <c r="B41" s="144" t="str">
        <f>РегистрИПН!B41</f>
        <v>Первый</v>
      </c>
      <c r="C41" s="145">
        <f>РегистрИПН!D41</f>
        <v>0</v>
      </c>
      <c r="D41" s="150"/>
      <c r="E41" s="147">
        <f>РегистрОПВ!L40</f>
        <v>0</v>
      </c>
      <c r="F41" s="148">
        <f>IF(РегистрОПВ!F40=1,0,C41-D41-E41)</f>
        <v>0</v>
      </c>
      <c r="G41" s="148">
        <f>Описание!E$16*7</f>
        <v>595000</v>
      </c>
      <c r="H41" s="148">
        <f>IF(F41=0,0,IF(F41&gt;Описание!E$20,Описание!E$20,IF(F41&gt;Описание!E$16,F41,Описание!E$16)))</f>
        <v>0</v>
      </c>
      <c r="I41" s="149">
        <f>H41*I$13</f>
        <v>0</v>
      </c>
      <c r="J41" s="150"/>
      <c r="K41" s="199">
        <f>IF(C41&lt;=Описание!E$26*25,РегистрИПН!I41*90/100,0)</f>
        <v>0</v>
      </c>
      <c r="L41" s="200">
        <f>IF(РегистрОПВ!F40=1,0,C41-J41-K41)</f>
        <v>0</v>
      </c>
      <c r="M41" s="262">
        <f>IF(L41=0,0,(IF(L41&lt;Описание!E$23,Описание!E$23,(L41))))</f>
        <v>0</v>
      </c>
      <c r="N41" s="262">
        <f>IF(M41&gt;Описание!E$22,Описание!E$22,M41)</f>
        <v>0</v>
      </c>
      <c r="O41" s="262">
        <f>N41*O$13</f>
        <v>0</v>
      </c>
    </row>
    <row r="42" spans="1:15" x14ac:dyDescent="0.25">
      <c r="A42" s="116">
        <v>2</v>
      </c>
      <c r="B42" s="144" t="str">
        <f>РегистрИПН!B42</f>
        <v>Второй</v>
      </c>
      <c r="C42" s="145">
        <f>РегистрИПН!D42</f>
        <v>0</v>
      </c>
      <c r="D42" s="150"/>
      <c r="E42" s="147">
        <f>РегистрОПВ!L41</f>
        <v>0</v>
      </c>
      <c r="F42" s="148">
        <f>IF(РегистрОПВ!F41=1,0,C42-D42-E42)</f>
        <v>0</v>
      </c>
      <c r="G42" s="148">
        <f>Описание!E$16*7</f>
        <v>595000</v>
      </c>
      <c r="H42" s="148">
        <f>IF(F42=0,0,IF(F42&gt;Описание!E$20,Описание!E$20,IF(F42&gt;Описание!E$16,F42,Описание!E$16)))</f>
        <v>0</v>
      </c>
      <c r="I42" s="149">
        <f t="shared" ref="I42:I53" si="7">H42*I$13</f>
        <v>0</v>
      </c>
      <c r="J42" s="150"/>
      <c r="K42" s="199">
        <f>IF(C42&lt;=Описание!E$26*25,РегистрИПН!I42*90/100,0)</f>
        <v>0</v>
      </c>
      <c r="L42" s="200">
        <f>IF(РегистрОПВ!F41=1,0,C42-J42-K42)</f>
        <v>0</v>
      </c>
      <c r="M42" s="262">
        <f>IF(L42=0,0,(IF(L42&lt;Описание!E$23,Описание!E$23,(L42))))</f>
        <v>0</v>
      </c>
      <c r="N42" s="262">
        <f>IF(M42&gt;Описание!E$22,Описание!E$22,M42)</f>
        <v>0</v>
      </c>
      <c r="O42" s="262">
        <f t="shared" ref="O42:O52" si="8">N42*O$13</f>
        <v>0</v>
      </c>
    </row>
    <row r="43" spans="1:15" x14ac:dyDescent="0.25">
      <c r="A43" s="116">
        <v>3</v>
      </c>
      <c r="B43" s="144" t="str">
        <f>РегистрИПН!B43</f>
        <v>Третий</v>
      </c>
      <c r="C43" s="145">
        <f>РегистрИПН!D43</f>
        <v>0</v>
      </c>
      <c r="D43" s="150"/>
      <c r="E43" s="147">
        <f>РегистрОПВ!L42</f>
        <v>0</v>
      </c>
      <c r="F43" s="148">
        <f>IF(РегистрОПВ!F42=1,0,C43-D43-E43)</f>
        <v>0</v>
      </c>
      <c r="G43" s="148">
        <f>Описание!E$16*7</f>
        <v>595000</v>
      </c>
      <c r="H43" s="148">
        <f>IF(F43=0,0,IF(F43&gt;Описание!E$20,Описание!E$20,IF(F43&gt;Описание!E$16,F43,Описание!E$16)))</f>
        <v>0</v>
      </c>
      <c r="I43" s="149">
        <f t="shared" si="7"/>
        <v>0</v>
      </c>
      <c r="J43" s="150"/>
      <c r="K43" s="199">
        <f>IF(C43&lt;=Описание!E$26*25,РегистрИПН!I43*90/100,0)</f>
        <v>0</v>
      </c>
      <c r="L43" s="200">
        <f>IF(РегистрОПВ!F42=1,0,C43-J43-K43)</f>
        <v>0</v>
      </c>
      <c r="M43" s="262">
        <f>IF(L43=0,0,(IF(L43&lt;Описание!E$23,Описание!E$23,(L43))))</f>
        <v>0</v>
      </c>
      <c r="N43" s="262">
        <f>IF(M43&gt;Описание!E$22,Описание!E$22,M43)</f>
        <v>0</v>
      </c>
      <c r="O43" s="262">
        <f t="shared" si="8"/>
        <v>0</v>
      </c>
    </row>
    <row r="44" spans="1:15" x14ac:dyDescent="0.25">
      <c r="A44" s="116">
        <v>4</v>
      </c>
      <c r="B44" s="144" t="str">
        <f>РегистрИПН!B44</f>
        <v>Четвертый</v>
      </c>
      <c r="C44" s="145">
        <f>РегистрИПН!D44</f>
        <v>0</v>
      </c>
      <c r="D44" s="150"/>
      <c r="E44" s="147">
        <f>РегистрОПВ!L43</f>
        <v>0</v>
      </c>
      <c r="F44" s="148">
        <f>IF(РегистрОПВ!F43=1,0,C44-D44-E44)</f>
        <v>0</v>
      </c>
      <c r="G44" s="148">
        <f>Описание!E$16*7</f>
        <v>595000</v>
      </c>
      <c r="H44" s="148">
        <f>IF(F44=0,0,IF(F44&gt;Описание!E$20,Описание!E$20,IF(F44&gt;Описание!E$16,F44,Описание!E$16)))</f>
        <v>0</v>
      </c>
      <c r="I44" s="149">
        <f t="shared" si="7"/>
        <v>0</v>
      </c>
      <c r="J44" s="150"/>
      <c r="K44" s="199">
        <f>IF(C44&lt;=Описание!E$26*25,РегистрИПН!I44*90/100,0)</f>
        <v>0</v>
      </c>
      <c r="L44" s="200">
        <f>IF(РегистрОПВ!F43=1,0,C44-J44-K44)</f>
        <v>0</v>
      </c>
      <c r="M44" s="262">
        <f>IF(L44=0,0,(IF(L44&lt;Описание!E$23,Описание!E$23,(L44))))</f>
        <v>0</v>
      </c>
      <c r="N44" s="262">
        <f>IF(M44&gt;Описание!E$22,Описание!E$22,M44)</f>
        <v>0</v>
      </c>
      <c r="O44" s="262">
        <f t="shared" si="8"/>
        <v>0</v>
      </c>
    </row>
    <row r="45" spans="1:15" x14ac:dyDescent="0.25">
      <c r="A45" s="116">
        <v>5</v>
      </c>
      <c r="B45" s="144" t="str">
        <f>РегистрИПН!B45</f>
        <v>Пятый</v>
      </c>
      <c r="C45" s="145">
        <f>РегистрИПН!D45</f>
        <v>0</v>
      </c>
      <c r="D45" s="150"/>
      <c r="E45" s="147">
        <f>РегистрОПВ!L44</f>
        <v>0</v>
      </c>
      <c r="F45" s="148">
        <f>IF(РегистрОПВ!F44=1,0,C45-D45-E45)</f>
        <v>0</v>
      </c>
      <c r="G45" s="148">
        <f>Описание!E$16*7</f>
        <v>595000</v>
      </c>
      <c r="H45" s="148">
        <f>IF(F45=0,0,IF(F45&gt;Описание!E$20,Описание!E$20,IF(F45&gt;Описание!E$16,F45,Описание!E$16)))</f>
        <v>0</v>
      </c>
      <c r="I45" s="149">
        <f t="shared" si="7"/>
        <v>0</v>
      </c>
      <c r="J45" s="150"/>
      <c r="K45" s="199">
        <f>IF(C45&lt;=Описание!E$26*25,РегистрИПН!I45*90/100,0)</f>
        <v>0</v>
      </c>
      <c r="L45" s="200">
        <f>IF(РегистрОПВ!F44=1,0,C45-J45-K45)</f>
        <v>0</v>
      </c>
      <c r="M45" s="262">
        <f>IF(L45=0,0,(IF(L45&lt;Описание!E$23,Описание!E$23,(L45))))</f>
        <v>0</v>
      </c>
      <c r="N45" s="262">
        <f>IF(M45&gt;Описание!E$22,Описание!E$22,M45)</f>
        <v>0</v>
      </c>
      <c r="O45" s="262">
        <f t="shared" si="8"/>
        <v>0</v>
      </c>
    </row>
    <row r="46" spans="1:15" x14ac:dyDescent="0.25">
      <c r="A46" s="116">
        <v>6</v>
      </c>
      <c r="B46" s="144" t="str">
        <f>РегистрИПН!B46</f>
        <v>Шестой</v>
      </c>
      <c r="C46" s="145">
        <f>РегистрИПН!D46</f>
        <v>0</v>
      </c>
      <c r="D46" s="150"/>
      <c r="E46" s="147">
        <f>РегистрОПВ!L45</f>
        <v>0</v>
      </c>
      <c r="F46" s="148">
        <f>IF(РегистрОПВ!F45=1,0,C46-D46-E46)</f>
        <v>0</v>
      </c>
      <c r="G46" s="148">
        <f>Описание!E$16*7</f>
        <v>595000</v>
      </c>
      <c r="H46" s="148">
        <f>IF(F46=0,0,IF(F46&gt;Описание!E$20,Описание!E$20,IF(F46&gt;Описание!E$16,F46,Описание!E$16)))</f>
        <v>0</v>
      </c>
      <c r="I46" s="149">
        <f t="shared" si="7"/>
        <v>0</v>
      </c>
      <c r="J46" s="146"/>
      <c r="K46" s="199">
        <f>IF(C46&lt;=Описание!E$26*25,РегистрИПН!I46*90/100,0)</f>
        <v>0</v>
      </c>
      <c r="L46" s="200">
        <f>IF(РегистрОПВ!F45=1,0,C46-J46-K46)</f>
        <v>0</v>
      </c>
      <c r="M46" s="262">
        <f>IF(L46=0,0,(IF(L46&lt;Описание!E$23,Описание!E$23,(L46))))</f>
        <v>0</v>
      </c>
      <c r="N46" s="262">
        <f>IF(M46&gt;Описание!E$22,Описание!E$22,M46)</f>
        <v>0</v>
      </c>
      <c r="O46" s="262">
        <f t="shared" si="8"/>
        <v>0</v>
      </c>
    </row>
    <row r="47" spans="1:15" x14ac:dyDescent="0.25">
      <c r="A47" s="116">
        <v>7</v>
      </c>
      <c r="B47" s="144">
        <f>РегистрИПН!B47</f>
        <v>0</v>
      </c>
      <c r="C47" s="145">
        <f>РегистрИПН!D47</f>
        <v>0</v>
      </c>
      <c r="D47" s="150"/>
      <c r="E47" s="147">
        <f>РегистрОПВ!L46</f>
        <v>0</v>
      </c>
      <c r="F47" s="148">
        <f>IF(РегистрОПВ!F46=1,0,C47-D47-E47)</f>
        <v>0</v>
      </c>
      <c r="G47" s="148">
        <f>Описание!E$16*7</f>
        <v>595000</v>
      </c>
      <c r="H47" s="148">
        <f>IF(F47=0,0,IF(F47&gt;Описание!E$20,Описание!E$20,IF(F47&gt;Описание!E$16,F47,Описание!E$16)))</f>
        <v>0</v>
      </c>
      <c r="I47" s="149">
        <f t="shared" si="7"/>
        <v>0</v>
      </c>
      <c r="J47" s="150"/>
      <c r="K47" s="199">
        <f>IF(C47&lt;=Описание!E$26*25,РегистрИПН!I47*90/100,0)</f>
        <v>0</v>
      </c>
      <c r="L47" s="200">
        <f>IF(РегистрОПВ!F46=1,0,C47-J47-K47)</f>
        <v>0</v>
      </c>
      <c r="M47" s="262">
        <f>IF(L47=0,0,(IF(L47&lt;Описание!E$23,Описание!E$23,(L47))))</f>
        <v>0</v>
      </c>
      <c r="N47" s="262">
        <f>IF(M47&gt;Описание!E$22,Описание!E$22,M47)</f>
        <v>0</v>
      </c>
      <c r="O47" s="262">
        <f t="shared" si="8"/>
        <v>0</v>
      </c>
    </row>
    <row r="48" spans="1:15" ht="12" customHeight="1" x14ac:dyDescent="0.25">
      <c r="A48" s="116">
        <v>8</v>
      </c>
      <c r="B48" s="144">
        <f>РегистрИПН!B48</f>
        <v>0</v>
      </c>
      <c r="C48" s="145">
        <f>РегистрИПН!D48</f>
        <v>0</v>
      </c>
      <c r="D48" s="150"/>
      <c r="E48" s="147">
        <f>РегистрОПВ!L47</f>
        <v>0</v>
      </c>
      <c r="F48" s="148">
        <f>IF(РегистрОПВ!F47=1,0,C48-D48-E48)</f>
        <v>0</v>
      </c>
      <c r="G48" s="148">
        <f>Описание!E$16*7</f>
        <v>595000</v>
      </c>
      <c r="H48" s="148">
        <f>IF(F48=0,0,IF(F48&gt;Описание!E$20,Описание!E$20,IF(F48&gt;Описание!E$16,F48,Описание!E$16)))</f>
        <v>0</v>
      </c>
      <c r="I48" s="149">
        <f t="shared" si="7"/>
        <v>0</v>
      </c>
      <c r="J48" s="150"/>
      <c r="K48" s="199">
        <f>IF(C48&lt;=Описание!E$26*25,РегистрИПН!I48*90/100,0)</f>
        <v>0</v>
      </c>
      <c r="L48" s="200">
        <f>IF(РегистрОПВ!F47=1,0,C48-J48-K48)</f>
        <v>0</v>
      </c>
      <c r="M48" s="262">
        <f>IF(L48=0,0,(IF(L48&lt;Описание!E$23,Описание!E$23,(L48))))</f>
        <v>0</v>
      </c>
      <c r="N48" s="262">
        <f>IF(M48&gt;Описание!E$22,Описание!E$22,M48)</f>
        <v>0</v>
      </c>
      <c r="O48" s="262">
        <f t="shared" si="8"/>
        <v>0</v>
      </c>
    </row>
    <row r="49" spans="1:15" ht="12" customHeight="1" x14ac:dyDescent="0.25">
      <c r="A49" s="116">
        <v>9</v>
      </c>
      <c r="B49" s="144">
        <f>РегистрИПН!B49</f>
        <v>0</v>
      </c>
      <c r="C49" s="145">
        <f>РегистрИПН!D49</f>
        <v>0</v>
      </c>
      <c r="D49" s="150"/>
      <c r="E49" s="147">
        <f>РегистрОПВ!L48</f>
        <v>0</v>
      </c>
      <c r="F49" s="148">
        <f>IF(РегистрОПВ!F48=1,0,C49-D49-E49)</f>
        <v>0</v>
      </c>
      <c r="G49" s="148">
        <f>Описание!E$16*7</f>
        <v>595000</v>
      </c>
      <c r="H49" s="148">
        <f>IF(F49=0,0,IF(F49&gt;Описание!E$20,Описание!E$20,IF(F49&gt;Описание!E$16,F49,Описание!E$16)))</f>
        <v>0</v>
      </c>
      <c r="I49" s="149">
        <f>H49*I$13</f>
        <v>0</v>
      </c>
      <c r="J49" s="150"/>
      <c r="K49" s="199">
        <f>IF(C49&lt;=Описание!E$26*25,РегистрИПН!I49*90/100,0)</f>
        <v>0</v>
      </c>
      <c r="L49" s="200">
        <f>IF(РегистрОПВ!F48=1,0,C49-J49-K49)</f>
        <v>0</v>
      </c>
      <c r="M49" s="262">
        <f>IF(L49=0,0,(IF(L49&lt;Описание!E$23,Описание!E$23,(L49))))</f>
        <v>0</v>
      </c>
      <c r="N49" s="262">
        <f>IF(M49&gt;Описание!E$22,Описание!E$22,M49)</f>
        <v>0</v>
      </c>
      <c r="O49" s="262">
        <f t="shared" si="8"/>
        <v>0</v>
      </c>
    </row>
    <row r="50" spans="1:15" x14ac:dyDescent="0.25">
      <c r="A50" s="116">
        <v>10</v>
      </c>
      <c r="B50" s="144">
        <f>РегистрИПН!B50</f>
        <v>0</v>
      </c>
      <c r="C50" s="145">
        <f>РегистрИПН!D50</f>
        <v>0</v>
      </c>
      <c r="D50" s="150"/>
      <c r="E50" s="147">
        <f>РегистрОПВ!L49</f>
        <v>0</v>
      </c>
      <c r="F50" s="148">
        <f>IF(РегистрОПВ!F49=1,0,C50-D50-E50)</f>
        <v>0</v>
      </c>
      <c r="G50" s="148">
        <f>Описание!E$16*7</f>
        <v>595000</v>
      </c>
      <c r="H50" s="148">
        <f>IF(F50=0,0,IF(F50&gt;Описание!E$20,Описание!E$20,IF(F50&gt;Описание!E$16,F50,Описание!E$16)))</f>
        <v>0</v>
      </c>
      <c r="I50" s="149">
        <f t="shared" si="7"/>
        <v>0</v>
      </c>
      <c r="J50" s="150"/>
      <c r="K50" s="199">
        <f>IF(C50&lt;=Описание!E$26*25,РегистрИПН!I50*90/100,0)</f>
        <v>0</v>
      </c>
      <c r="L50" s="200">
        <f>IF(РегистрОПВ!F49=1,0,C50-J50-K50)</f>
        <v>0</v>
      </c>
      <c r="M50" s="262">
        <f>IF(L50=0,0,(IF(L50&lt;Описание!E$23,Описание!E$23,(L50))))</f>
        <v>0</v>
      </c>
      <c r="N50" s="262">
        <f>IF(M50&gt;Описание!E$22,Описание!E$22,M50)</f>
        <v>0</v>
      </c>
      <c r="O50" s="262">
        <f t="shared" si="8"/>
        <v>0</v>
      </c>
    </row>
    <row r="51" spans="1:15" x14ac:dyDescent="0.25">
      <c r="A51" s="116">
        <v>11</v>
      </c>
      <c r="B51" s="144">
        <f>РегистрИПН!B51</f>
        <v>0</v>
      </c>
      <c r="C51" s="145">
        <f>РегистрИПН!D51</f>
        <v>0</v>
      </c>
      <c r="D51" s="150"/>
      <c r="E51" s="147">
        <f>РегистрОПВ!L50</f>
        <v>0</v>
      </c>
      <c r="F51" s="148">
        <f>IF(РегистрОПВ!F50=1,0,C51-D51-E51)</f>
        <v>0</v>
      </c>
      <c r="G51" s="148">
        <f>Описание!E$16*7</f>
        <v>595000</v>
      </c>
      <c r="H51" s="148">
        <f>IF(F51=0,0,IF(F51&gt;Описание!E$20,Описание!E$20,IF(F51&gt;Описание!E$16,F51,Описание!E$16)))</f>
        <v>0</v>
      </c>
      <c r="I51" s="149">
        <f t="shared" si="7"/>
        <v>0</v>
      </c>
      <c r="J51" s="150"/>
      <c r="K51" s="199">
        <f>IF(C51&lt;=Описание!E$26*25,РегистрИПН!I51*90/100,0)</f>
        <v>0</v>
      </c>
      <c r="L51" s="200">
        <f>IF(РегистрОПВ!F50=1,0,C51-J51-K51)</f>
        <v>0</v>
      </c>
      <c r="M51" s="262">
        <f>IF(L51=0,0,(IF(L51&lt;Описание!E$23,Описание!E$23,(L51))))</f>
        <v>0</v>
      </c>
      <c r="N51" s="262">
        <f>IF(M51&gt;Описание!E$22,Описание!E$22,M51)</f>
        <v>0</v>
      </c>
      <c r="O51" s="262">
        <f t="shared" si="8"/>
        <v>0</v>
      </c>
    </row>
    <row r="52" spans="1:15" x14ac:dyDescent="0.25">
      <c r="A52" s="116">
        <v>12</v>
      </c>
      <c r="B52" s="144">
        <f>РегистрИПН!B52</f>
        <v>0</v>
      </c>
      <c r="C52" s="145">
        <f>РегистрИПН!D52</f>
        <v>0</v>
      </c>
      <c r="D52" s="150"/>
      <c r="E52" s="147">
        <f>РегистрОПВ!L51</f>
        <v>0</v>
      </c>
      <c r="F52" s="148">
        <f>IF(РегистрОПВ!F51=1,0,C52-D52-E52)</f>
        <v>0</v>
      </c>
      <c r="G52" s="148">
        <f>Описание!E$16*7</f>
        <v>595000</v>
      </c>
      <c r="H52" s="148">
        <f>IF(F52=0,0,IF(F52&gt;Описание!E$20,Описание!E$20,IF(F52&gt;Описание!E$16,F52,Описание!E$16)))</f>
        <v>0</v>
      </c>
      <c r="I52" s="149">
        <f t="shared" si="7"/>
        <v>0</v>
      </c>
      <c r="J52" s="150"/>
      <c r="K52" s="199">
        <f>IF(C52&lt;=Описание!E$26*25,РегистрИПН!I52*90/100,0)</f>
        <v>0</v>
      </c>
      <c r="L52" s="200">
        <f>IF(РегистрОПВ!F51=1,0,C52-J52-K52)</f>
        <v>0</v>
      </c>
      <c r="M52" s="262">
        <f>IF(L52=0,0,(IF(L52&lt;Описание!E$23,Описание!E$23,(L52))))</f>
        <v>0</v>
      </c>
      <c r="N52" s="262">
        <f>IF(M52&gt;Описание!E$22,Описание!E$22,M52)</f>
        <v>0</v>
      </c>
      <c r="O52" s="262">
        <f t="shared" si="8"/>
        <v>0</v>
      </c>
    </row>
    <row r="53" spans="1:15" x14ac:dyDescent="0.25">
      <c r="A53" s="116">
        <v>13</v>
      </c>
      <c r="B53" s="144">
        <f>РегистрИПН!B53</f>
        <v>0</v>
      </c>
      <c r="C53" s="145">
        <f>РегистрИПН!D53</f>
        <v>0</v>
      </c>
      <c r="D53" s="150"/>
      <c r="E53" s="147">
        <f>РегистрОПВ!L52</f>
        <v>0</v>
      </c>
      <c r="F53" s="148">
        <f>IF(РегистрОПВ!F52=1,0,C53-D53-E53)</f>
        <v>0</v>
      </c>
      <c r="G53" s="148">
        <f>Описание!E$16*7</f>
        <v>595000</v>
      </c>
      <c r="H53" s="148">
        <f>IF(F53=0,0,IF(F53&gt;Описание!E$20,Описание!E$20,IF(F53&gt;Описание!E$16,F53,Описание!E$16)))</f>
        <v>0</v>
      </c>
      <c r="I53" s="149">
        <f t="shared" si="7"/>
        <v>0</v>
      </c>
      <c r="J53" s="150"/>
      <c r="K53" s="199">
        <f>IF(C53&lt;=Описание!E$26*25,РегистрИПН!I53*90/100,0)</f>
        <v>0</v>
      </c>
      <c r="L53" s="200">
        <f>IF(РегистрОПВ!F52=1,0,C53-J53-K53)</f>
        <v>0</v>
      </c>
      <c r="M53" s="262">
        <f>IF(L53=0,0,(IF(L53&lt;Описание!E$23,Описание!E$23,(L53))))</f>
        <v>0</v>
      </c>
      <c r="N53" s="262">
        <f>IF(M53&gt;Описание!E$22,Описание!E$22,M53)</f>
        <v>0</v>
      </c>
      <c r="O53" s="262">
        <f>N53*O$13</f>
        <v>0</v>
      </c>
    </row>
    <row r="54" spans="1:15" s="9" customFormat="1" ht="24.75" customHeight="1" thickBot="1" x14ac:dyDescent="0.3">
      <c r="A54" s="321" t="s">
        <v>147</v>
      </c>
      <c r="B54" s="322"/>
      <c r="C54" s="138">
        <f t="shared" ref="C54:I54" si="9">C40+C27+C14</f>
        <v>0</v>
      </c>
      <c r="D54" s="138">
        <f t="shared" si="9"/>
        <v>0</v>
      </c>
      <c r="E54" s="138">
        <f t="shared" si="9"/>
        <v>0</v>
      </c>
      <c r="F54" s="138">
        <f t="shared" si="9"/>
        <v>0</v>
      </c>
      <c r="G54" s="138">
        <f t="shared" si="9"/>
        <v>0</v>
      </c>
      <c r="H54" s="138">
        <f>H40+H27+H14</f>
        <v>0</v>
      </c>
      <c r="I54" s="139">
        <f t="shared" si="9"/>
        <v>0</v>
      </c>
      <c r="J54" s="138">
        <f t="shared" ref="J54:O54" si="10">J40+J27+J14</f>
        <v>0</v>
      </c>
      <c r="K54" s="138">
        <f t="shared" si="10"/>
        <v>0</v>
      </c>
      <c r="L54" s="138">
        <f t="shared" si="10"/>
        <v>0</v>
      </c>
      <c r="M54" s="138">
        <f t="shared" si="10"/>
        <v>0</v>
      </c>
      <c r="N54" s="264">
        <f t="shared" si="10"/>
        <v>0</v>
      </c>
      <c r="O54" s="264">
        <f t="shared" si="10"/>
        <v>0</v>
      </c>
    </row>
    <row r="55" spans="1:15" x14ac:dyDescent="0.25">
      <c r="A55" s="152"/>
      <c r="B55" s="94"/>
      <c r="C55" s="94"/>
      <c r="D55" s="94"/>
      <c r="E55" s="94"/>
      <c r="F55" s="94"/>
      <c r="G55" s="94"/>
      <c r="H55" s="94"/>
    </row>
    <row r="56" spans="1:15" x14ac:dyDescent="0.25">
      <c r="A56" s="61" t="s">
        <v>96</v>
      </c>
      <c r="B56" s="9"/>
      <c r="D56" s="122"/>
      <c r="E56" s="122"/>
    </row>
    <row r="57" spans="1:15" x14ac:dyDescent="0.25">
      <c r="A57" s="61" t="s">
        <v>97</v>
      </c>
      <c r="B57" s="94"/>
    </row>
    <row r="58" spans="1:15" x14ac:dyDescent="0.25">
      <c r="A58" s="61" t="s">
        <v>96</v>
      </c>
      <c r="B58" s="9"/>
    </row>
    <row r="59" spans="1:15" x14ac:dyDescent="0.25">
      <c r="A59" s="61" t="s">
        <v>98</v>
      </c>
      <c r="B59" s="94"/>
    </row>
    <row r="60" spans="1:15" x14ac:dyDescent="0.25">
      <c r="A60" s="61" t="s">
        <v>96</v>
      </c>
      <c r="B60" s="9"/>
      <c r="F60" s="153"/>
      <c r="G60" s="153"/>
      <c r="H60" s="153"/>
      <c r="I60" s="153"/>
      <c r="J60" s="153"/>
      <c r="K60" s="153"/>
    </row>
    <row r="61" spans="1:15" x14ac:dyDescent="0.25">
      <c r="A61" s="61" t="s">
        <v>99</v>
      </c>
      <c r="B61" s="94"/>
    </row>
    <row r="62" spans="1:15" x14ac:dyDescent="0.25">
      <c r="A62" s="61" t="s">
        <v>100</v>
      </c>
      <c r="B62" s="115"/>
      <c r="C62" s="121"/>
    </row>
    <row r="63" spans="1:15" x14ac:dyDescent="0.25">
      <c r="A63" s="61" t="s">
        <v>101</v>
      </c>
      <c r="B63" s="94"/>
      <c r="C63" s="121"/>
    </row>
  </sheetData>
  <mergeCells count="4">
    <mergeCell ref="F1:H1"/>
    <mergeCell ref="F2:H2"/>
    <mergeCell ref="F4:H4"/>
    <mergeCell ref="A54:B5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3"/>
  <sheetViews>
    <sheetView topLeftCell="A28" zoomScaleNormal="100" workbookViewId="0">
      <selection activeCell="G54" sqref="G54"/>
    </sheetView>
  </sheetViews>
  <sheetFormatPr defaultColWidth="9.109375" defaultRowHeight="13.2" x14ac:dyDescent="0.25"/>
  <cols>
    <col min="1" max="1" width="4" style="48" customWidth="1"/>
    <col min="2" max="2" width="25.88671875" style="48" customWidth="1"/>
    <col min="3" max="5" width="14.33203125" style="48" customWidth="1"/>
    <col min="6" max="6" width="12.33203125" style="48" customWidth="1"/>
    <col min="7" max="8" width="14.33203125" style="48" customWidth="1"/>
    <col min="9" max="9" width="13.5546875" style="48" customWidth="1"/>
    <col min="10" max="10" width="12.6640625" style="48" customWidth="1"/>
    <col min="11" max="11" width="18.5546875" style="48" customWidth="1"/>
    <col min="12" max="12" width="10.88671875" style="48" bestFit="1" customWidth="1"/>
    <col min="13" max="13" width="11.6640625" style="48" customWidth="1"/>
    <col min="14" max="16384" width="9.109375" style="48"/>
  </cols>
  <sheetData>
    <row r="1" spans="1:13" ht="19.5" customHeight="1" x14ac:dyDescent="0.25">
      <c r="A1" s="91" t="s">
        <v>81</v>
      </c>
      <c r="B1" s="92" t="s">
        <v>102</v>
      </c>
      <c r="I1" s="305"/>
      <c r="J1" s="305"/>
      <c r="K1" s="93"/>
      <c r="L1" s="94"/>
    </row>
    <row r="2" spans="1:13" x14ac:dyDescent="0.25">
      <c r="A2" s="91" t="s">
        <v>82</v>
      </c>
      <c r="B2" s="92" t="s">
        <v>103</v>
      </c>
      <c r="C2" s="48">
        <f>'200.00 200.01'!E10</f>
        <v>123123123</v>
      </c>
      <c r="I2" s="305"/>
      <c r="J2" s="305"/>
      <c r="K2" s="94"/>
      <c r="L2" s="94"/>
    </row>
    <row r="3" spans="1:13" x14ac:dyDescent="0.25">
      <c r="A3" s="94"/>
      <c r="B3" s="15" t="s">
        <v>83</v>
      </c>
      <c r="I3" s="95"/>
      <c r="J3" s="95"/>
      <c r="K3" s="95"/>
      <c r="L3" s="94"/>
    </row>
    <row r="4" spans="1:13" x14ac:dyDescent="0.25">
      <c r="A4" s="37" t="s">
        <v>84</v>
      </c>
      <c r="B4" s="94" t="s">
        <v>104</v>
      </c>
      <c r="C4" s="222"/>
      <c r="D4" s="48" t="str">
        <f>'200.00 200.01'!J14</f>
        <v>ТОО AAAA</v>
      </c>
      <c r="I4" s="305"/>
      <c r="J4" s="305"/>
      <c r="K4" s="94"/>
      <c r="L4" s="94"/>
    </row>
    <row r="5" spans="1:13" x14ac:dyDescent="0.25">
      <c r="A5" s="37" t="s">
        <v>85</v>
      </c>
      <c r="B5" s="94" t="s">
        <v>105</v>
      </c>
      <c r="C5" s="222">
        <f>'200.00 200.01'!J12</f>
        <v>1</v>
      </c>
      <c r="I5" s="94"/>
      <c r="J5" s="94" t="s">
        <v>107</v>
      </c>
      <c r="K5" s="95">
        <f>'200.00 200.01'!M12</f>
        <v>2024</v>
      </c>
      <c r="L5" s="94"/>
    </row>
    <row r="6" spans="1:13" x14ac:dyDescent="0.25">
      <c r="A6" s="37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</row>
    <row r="8" spans="1:13" x14ac:dyDescent="0.25">
      <c r="A8" s="94"/>
      <c r="B8" s="5" t="s">
        <v>143</v>
      </c>
      <c r="C8" s="94"/>
      <c r="D8" s="94"/>
      <c r="E8" s="94"/>
      <c r="F8" s="94"/>
      <c r="G8" s="94"/>
      <c r="H8" s="94"/>
      <c r="I8" s="94"/>
      <c r="J8" s="94"/>
    </row>
    <row r="9" spans="1:13" ht="13.8" thickBot="1" x14ac:dyDescent="0.3">
      <c r="A9" s="94"/>
      <c r="B9" s="9"/>
      <c r="C9" s="37"/>
      <c r="D9" s="37"/>
      <c r="E9" s="37"/>
      <c r="F9" s="265"/>
      <c r="G9" s="37"/>
      <c r="H9" s="37"/>
      <c r="I9" s="94"/>
      <c r="J9" s="94"/>
      <c r="K9" s="37" t="s">
        <v>87</v>
      </c>
    </row>
    <row r="10" spans="1:13" s="140" customFormat="1" ht="111.75" customHeight="1" thickBot="1" x14ac:dyDescent="0.3">
      <c r="A10" s="96" t="s">
        <v>88</v>
      </c>
      <c r="B10" s="58" t="s">
        <v>89</v>
      </c>
      <c r="C10" s="58" t="s">
        <v>91</v>
      </c>
      <c r="D10" s="58" t="s">
        <v>122</v>
      </c>
      <c r="E10" s="58" t="s">
        <v>236</v>
      </c>
      <c r="F10" s="44" t="s">
        <v>234</v>
      </c>
      <c r="G10" s="58" t="s">
        <v>289</v>
      </c>
      <c r="H10" s="58" t="s">
        <v>288</v>
      </c>
      <c r="I10" s="58" t="s">
        <v>144</v>
      </c>
      <c r="J10" s="58" t="s">
        <v>145</v>
      </c>
      <c r="K10" s="59" t="s">
        <v>146</v>
      </c>
      <c r="L10" s="48"/>
      <c r="M10" s="48"/>
    </row>
    <row r="11" spans="1:13" x14ac:dyDescent="0.25">
      <c r="A11" s="129">
        <v>1</v>
      </c>
      <c r="B11" s="130">
        <v>2</v>
      </c>
      <c r="C11" s="129">
        <v>3</v>
      </c>
      <c r="D11" s="154">
        <v>4</v>
      </c>
      <c r="E11" s="154">
        <v>5</v>
      </c>
      <c r="F11" s="154">
        <v>6</v>
      </c>
      <c r="G11" s="154">
        <v>7</v>
      </c>
      <c r="H11" s="154">
        <v>8</v>
      </c>
      <c r="I11" s="130">
        <v>9</v>
      </c>
      <c r="J11" s="129">
        <v>10</v>
      </c>
      <c r="K11" s="130">
        <v>11</v>
      </c>
    </row>
    <row r="12" spans="1:13" ht="13.8" thickBot="1" x14ac:dyDescent="0.3">
      <c r="A12" s="155"/>
      <c r="B12" s="131"/>
      <c r="C12" s="131"/>
      <c r="D12" s="131"/>
      <c r="E12" s="131"/>
      <c r="F12" s="131"/>
      <c r="G12" s="131"/>
      <c r="H12" s="131"/>
      <c r="I12" s="131"/>
      <c r="J12" s="131"/>
      <c r="K12" s="156" t="s">
        <v>287</v>
      </c>
    </row>
    <row r="13" spans="1:13" x14ac:dyDescent="0.25">
      <c r="A13" s="157"/>
      <c r="B13" s="158"/>
      <c r="C13" s="158"/>
      <c r="D13" s="158"/>
      <c r="E13" s="158"/>
      <c r="F13" s="158"/>
      <c r="G13" s="158"/>
      <c r="H13" s="158"/>
      <c r="I13" s="158"/>
      <c r="J13" s="158"/>
      <c r="K13" s="159"/>
    </row>
    <row r="14" spans="1:13" x14ac:dyDescent="0.25">
      <c r="A14" s="160"/>
      <c r="B14" s="23" t="s">
        <v>108</v>
      </c>
      <c r="C14" s="50">
        <f t="shared" ref="C14:K14" si="0">SUM(C15:C26)</f>
        <v>0</v>
      </c>
      <c r="D14" s="50">
        <f t="shared" si="0"/>
        <v>0</v>
      </c>
      <c r="E14" s="50">
        <f t="shared" si="0"/>
        <v>0</v>
      </c>
      <c r="F14" s="50">
        <f t="shared" si="0"/>
        <v>0</v>
      </c>
      <c r="G14" s="50">
        <f t="shared" si="0"/>
        <v>0</v>
      </c>
      <c r="H14" s="50">
        <f t="shared" si="0"/>
        <v>0</v>
      </c>
      <c r="I14" s="50">
        <f t="shared" si="0"/>
        <v>0</v>
      </c>
      <c r="J14" s="50">
        <f t="shared" si="0"/>
        <v>0</v>
      </c>
      <c r="K14" s="50">
        <f t="shared" si="0"/>
        <v>0</v>
      </c>
    </row>
    <row r="15" spans="1:13" ht="18" customHeight="1" x14ac:dyDescent="0.25">
      <c r="A15" s="116">
        <v>1</v>
      </c>
      <c r="B15" s="161" t="str">
        <f>'РегистрСО ОСМС'!B15</f>
        <v>Первый</v>
      </c>
      <c r="C15" s="162">
        <f>РегистрОПВ!E14</f>
        <v>0</v>
      </c>
      <c r="D15" s="163">
        <f>РегистрОПВ!L14</f>
        <v>0</v>
      </c>
      <c r="E15" s="163">
        <f>SUMIF(РегистрОПВ!B$14:B$25,РегистрСН!B15,РегистрОПВ!T$14:T$25)</f>
        <v>0</v>
      </c>
      <c r="F15" s="163">
        <f>'РегистрСО ОСМС'!K15</f>
        <v>0</v>
      </c>
      <c r="G15" s="191"/>
      <c r="H15" s="163">
        <f>C15-D15-G15-E15</f>
        <v>0</v>
      </c>
      <c r="I15" s="164">
        <f>IF(H15=0,0,(IF(H15&lt;Описание!E$17,Описание!E$17*9.5%,(H15*9.5%))))</f>
        <v>0</v>
      </c>
      <c r="J15" s="165">
        <f>'РегистрСО ОСМС'!I15</f>
        <v>0</v>
      </c>
      <c r="K15" s="166">
        <f>IF(I15&gt;J15,I15-J15,0)</f>
        <v>0</v>
      </c>
      <c r="L15" s="204"/>
    </row>
    <row r="16" spans="1:13" x14ac:dyDescent="0.25">
      <c r="A16" s="116">
        <v>2</v>
      </c>
      <c r="B16" s="161" t="str">
        <f>'РегистрСО ОСМС'!B16</f>
        <v>Второй</v>
      </c>
      <c r="C16" s="162">
        <f>РегистрОПВ!E15</f>
        <v>0</v>
      </c>
      <c r="D16" s="163">
        <f>РегистрОПВ!L15</f>
        <v>0</v>
      </c>
      <c r="E16" s="163">
        <f>SUMIF(РегистрОПВ!B$14:B$25,РегистрСН!B16,РегистрОПВ!T$14:T$25)</f>
        <v>0</v>
      </c>
      <c r="F16" s="163">
        <f>'РегистрСО ОСМС'!K16</f>
        <v>0</v>
      </c>
      <c r="G16" s="188"/>
      <c r="H16" s="163">
        <f>C16-D16-G16-E16</f>
        <v>0</v>
      </c>
      <c r="I16" s="164">
        <f>IF(H16=0,0,(IF(H16&lt;Описание!E$17,Описание!E$17*9.5%,(H16*9.5%))))</f>
        <v>0</v>
      </c>
      <c r="J16" s="165">
        <f>'РегистрСО ОСМС'!I16</f>
        <v>0</v>
      </c>
      <c r="K16" s="166">
        <f>IF(I16&gt;J16,I16-J16,0)</f>
        <v>0</v>
      </c>
    </row>
    <row r="17" spans="1:13" x14ac:dyDescent="0.25">
      <c r="A17" s="116">
        <v>3</v>
      </c>
      <c r="B17" s="161" t="str">
        <f>'РегистрСО ОСМС'!B17</f>
        <v>Третий</v>
      </c>
      <c r="C17" s="162">
        <f>РегистрОПВ!E16</f>
        <v>0</v>
      </c>
      <c r="D17" s="163">
        <f>РегистрОПВ!L16</f>
        <v>0</v>
      </c>
      <c r="E17" s="163">
        <f>SUMIF(РегистрОПВ!B$14:B$25,РегистрСН!B17,РегистрОПВ!T$14:T$25)</f>
        <v>0</v>
      </c>
      <c r="F17" s="163">
        <f>'РегистрСО ОСМС'!K17</f>
        <v>0</v>
      </c>
      <c r="G17" s="188"/>
      <c r="H17" s="163">
        <f t="shared" ref="H17:H26" si="1">C17-D17-G17-E17</f>
        <v>0</v>
      </c>
      <c r="I17" s="164">
        <f>IF(H17=0,0,(IF(H17&lt;Описание!E$17,Описание!E$17*9.5%,(H17*9.5%))))</f>
        <v>0</v>
      </c>
      <c r="J17" s="165">
        <f>'РегистрСО ОСМС'!I17</f>
        <v>0</v>
      </c>
      <c r="K17" s="166">
        <f t="shared" ref="K17:K25" si="2">IF(I17&gt;J17,I17-J17,0)</f>
        <v>0</v>
      </c>
    </row>
    <row r="18" spans="1:13" x14ac:dyDescent="0.25">
      <c r="A18" s="116">
        <v>4</v>
      </c>
      <c r="B18" s="161" t="str">
        <f>'РегистрСО ОСМС'!B18</f>
        <v>Четвертый</v>
      </c>
      <c r="C18" s="162">
        <f>РегистрОПВ!E17</f>
        <v>0</v>
      </c>
      <c r="D18" s="163">
        <f>РегистрОПВ!L17</f>
        <v>0</v>
      </c>
      <c r="E18" s="163">
        <f>SUMIF(РегистрОПВ!B$14:B$25,РегистрСН!B18,РегистрОПВ!T$14:T$25)</f>
        <v>0</v>
      </c>
      <c r="F18" s="163">
        <f>'РегистрСО ОСМС'!K18</f>
        <v>0</v>
      </c>
      <c r="G18" s="188"/>
      <c r="H18" s="163">
        <f t="shared" si="1"/>
        <v>0</v>
      </c>
      <c r="I18" s="164">
        <f>IF(H18=0,0,(IF(H18&lt;Описание!E$17,Описание!E$17*9.5%,(H18*9.5%))))</f>
        <v>0</v>
      </c>
      <c r="J18" s="165">
        <f>'РегистрСО ОСМС'!I18</f>
        <v>0</v>
      </c>
      <c r="K18" s="166">
        <f t="shared" si="2"/>
        <v>0</v>
      </c>
    </row>
    <row r="19" spans="1:13" x14ac:dyDescent="0.25">
      <c r="A19" s="116">
        <v>5</v>
      </c>
      <c r="B19" s="161" t="str">
        <f>'РегистрСО ОСМС'!B19</f>
        <v>Пятый</v>
      </c>
      <c r="C19" s="162">
        <f>РегистрОПВ!E18</f>
        <v>0</v>
      </c>
      <c r="D19" s="163">
        <f>РегистрОПВ!L18</f>
        <v>0</v>
      </c>
      <c r="E19" s="163">
        <f>SUMIF(РегистрОПВ!B$14:B$25,РегистрСН!B19,РегистрОПВ!T$14:T$25)</f>
        <v>0</v>
      </c>
      <c r="F19" s="163">
        <f>'РегистрСО ОСМС'!K19</f>
        <v>0</v>
      </c>
      <c r="G19" s="188"/>
      <c r="H19" s="163">
        <f t="shared" si="1"/>
        <v>0</v>
      </c>
      <c r="I19" s="164">
        <f>IF(H19=0,0,(IF(H19&lt;Описание!E$17,Описание!E$17*9.5%,(H19*9.5%))))</f>
        <v>0</v>
      </c>
      <c r="J19" s="165">
        <f>'РегистрСО ОСМС'!I19</f>
        <v>0</v>
      </c>
      <c r="K19" s="166">
        <f>IF(I19&gt;J19,I19-J19,0)</f>
        <v>0</v>
      </c>
      <c r="L19" s="210"/>
    </row>
    <row r="20" spans="1:13" x14ac:dyDescent="0.25">
      <c r="A20" s="116">
        <v>6</v>
      </c>
      <c r="B20" s="161" t="str">
        <f>'РегистрСО ОСМС'!B20</f>
        <v>Шестой</v>
      </c>
      <c r="C20" s="162">
        <f>РегистрОПВ!E19</f>
        <v>0</v>
      </c>
      <c r="D20" s="163">
        <f>РегистрОПВ!L19</f>
        <v>0</v>
      </c>
      <c r="E20" s="163">
        <f>SUMIF(РегистрОПВ!B$14:B$25,РегистрСН!B20,РегистрОПВ!T$14:T$25)</f>
        <v>0</v>
      </c>
      <c r="F20" s="163">
        <f>'РегистрСО ОСМС'!K20</f>
        <v>0</v>
      </c>
      <c r="G20" s="188"/>
      <c r="H20" s="163">
        <f t="shared" si="1"/>
        <v>0</v>
      </c>
      <c r="I20" s="164">
        <f>IF(H20=0,0,(IF(H20&lt;Описание!E$17,Описание!E$17*9.5%,(H20*9.5%))))</f>
        <v>0</v>
      </c>
      <c r="J20" s="165">
        <f>'РегистрСО ОСМС'!I20</f>
        <v>0</v>
      </c>
      <c r="K20" s="166">
        <f t="shared" si="2"/>
        <v>0</v>
      </c>
      <c r="L20" s="9"/>
      <c r="M20" s="9"/>
    </row>
    <row r="21" spans="1:13" x14ac:dyDescent="0.25">
      <c r="A21" s="116">
        <v>7</v>
      </c>
      <c r="B21" s="161">
        <f>'РегистрСО ОСМС'!B21</f>
        <v>0</v>
      </c>
      <c r="C21" s="162">
        <f>РегистрОПВ!E20</f>
        <v>0</v>
      </c>
      <c r="D21" s="163">
        <f>РегистрОПВ!L20</f>
        <v>0</v>
      </c>
      <c r="E21" s="163">
        <f>SUMIF(РегистрОПВ!B$14:B$25,РегистрСН!B21,РегистрОПВ!T$14:T$25)</f>
        <v>0</v>
      </c>
      <c r="F21" s="163">
        <f>'РегистрСО ОСМС'!K21</f>
        <v>0</v>
      </c>
      <c r="G21" s="188"/>
      <c r="H21" s="163">
        <f>C21-D21-G21-E21</f>
        <v>0</v>
      </c>
      <c r="I21" s="164">
        <f>IF(H21=0,0,(IF(H21&lt;Описание!E$17,Описание!E$17*9.5%,(H21*9.5%))))</f>
        <v>0</v>
      </c>
      <c r="J21" s="165">
        <f>'РегистрСО ОСМС'!I21</f>
        <v>0</v>
      </c>
      <c r="K21" s="166">
        <f>IF(I21&gt;J21,I21-J21,0)</f>
        <v>0</v>
      </c>
    </row>
    <row r="22" spans="1:13" x14ac:dyDescent="0.25">
      <c r="A22" s="116">
        <v>8</v>
      </c>
      <c r="B22" s="161">
        <f>'РегистрСО ОСМС'!B22</f>
        <v>0</v>
      </c>
      <c r="C22" s="162">
        <f>РегистрОПВ!E21</f>
        <v>0</v>
      </c>
      <c r="D22" s="163">
        <f>РегистрОПВ!L21</f>
        <v>0</v>
      </c>
      <c r="E22" s="163">
        <f>SUMIF(РегистрОПВ!B$14:B$25,РегистрСН!B22,РегистрОПВ!T$14:T$25)</f>
        <v>0</v>
      </c>
      <c r="F22" s="163">
        <f>'РегистрСО ОСМС'!K22</f>
        <v>0</v>
      </c>
      <c r="G22" s="188"/>
      <c r="H22" s="163">
        <f t="shared" si="1"/>
        <v>0</v>
      </c>
      <c r="I22" s="164">
        <f>IF(H22=0,0,(IF(H22&lt;Описание!E$17,Описание!E$17*9.5%,(H22*9.5%))))</f>
        <v>0</v>
      </c>
      <c r="J22" s="165">
        <f>'РегистрСО ОСМС'!I22</f>
        <v>0</v>
      </c>
      <c r="K22" s="166">
        <f t="shared" si="2"/>
        <v>0</v>
      </c>
    </row>
    <row r="23" spans="1:13" x14ac:dyDescent="0.25">
      <c r="A23" s="116">
        <v>9</v>
      </c>
      <c r="B23" s="161">
        <f>'РегистрСО ОСМС'!B23</f>
        <v>0</v>
      </c>
      <c r="C23" s="162">
        <f>РегистрОПВ!E22</f>
        <v>0</v>
      </c>
      <c r="D23" s="163">
        <f>РегистрОПВ!L22</f>
        <v>0</v>
      </c>
      <c r="E23" s="163">
        <f>SUMIF(РегистрОПВ!B$14:B$25,РегистрСН!B23,РегистрОПВ!T$14:T$25)</f>
        <v>0</v>
      </c>
      <c r="F23" s="163">
        <f>'РегистрСО ОСМС'!K23</f>
        <v>0</v>
      </c>
      <c r="G23" s="191"/>
      <c r="H23" s="163">
        <f t="shared" si="1"/>
        <v>0</v>
      </c>
      <c r="I23" s="164">
        <f>IF(H23=0,0,(IF(H23&lt;Описание!E$16,Описание!E$16*9.5%,(H23*9.5%))))</f>
        <v>0</v>
      </c>
      <c r="J23" s="165">
        <f>'РегистрСО ОСМС'!I23</f>
        <v>0</v>
      </c>
      <c r="K23" s="166">
        <f t="shared" si="2"/>
        <v>0</v>
      </c>
    </row>
    <row r="24" spans="1:13" x14ac:dyDescent="0.25">
      <c r="A24" s="116">
        <v>10</v>
      </c>
      <c r="B24" s="161">
        <f>'РегистрСО ОСМС'!B24</f>
        <v>0</v>
      </c>
      <c r="C24" s="162">
        <f>РегистрОПВ!E23</f>
        <v>0</v>
      </c>
      <c r="D24" s="163">
        <f>РегистрОПВ!L23</f>
        <v>0</v>
      </c>
      <c r="E24" s="163">
        <f>SUMIF(РегистрОПВ!B$14:B$25,РегистрСН!B24,РегистрОПВ!T$14:T$25)</f>
        <v>0</v>
      </c>
      <c r="F24" s="163">
        <f>'РегистрСО ОСМС'!K24</f>
        <v>0</v>
      </c>
      <c r="G24" s="188"/>
      <c r="H24" s="163">
        <f t="shared" si="1"/>
        <v>0</v>
      </c>
      <c r="I24" s="164">
        <f>IF(H24=0,0,(IF(H24&lt;Описание!E$16,Описание!E$16*9.5%,(H24*9.5%))))</f>
        <v>0</v>
      </c>
      <c r="J24" s="165">
        <f>'РегистрСО ОСМС'!I24</f>
        <v>0</v>
      </c>
      <c r="K24" s="166">
        <f t="shared" si="2"/>
        <v>0</v>
      </c>
    </row>
    <row r="25" spans="1:13" x14ac:dyDescent="0.25">
      <c r="A25" s="116">
        <v>11</v>
      </c>
      <c r="B25" s="161">
        <f>'РегистрСО ОСМС'!B25</f>
        <v>0</v>
      </c>
      <c r="C25" s="162">
        <f>РегистрОПВ!E24</f>
        <v>0</v>
      </c>
      <c r="D25" s="163">
        <f>РегистрОПВ!L24</f>
        <v>0</v>
      </c>
      <c r="E25" s="163">
        <f>SUMIF(РегистрОПВ!B$14:B$25,РегистрСН!B25,РегистрОПВ!T$14:T$25)</f>
        <v>0</v>
      </c>
      <c r="F25" s="163">
        <f>'РегистрСО ОСМС'!K25</f>
        <v>0</v>
      </c>
      <c r="G25" s="188"/>
      <c r="H25" s="163">
        <f t="shared" si="1"/>
        <v>0</v>
      </c>
      <c r="I25" s="164">
        <f>IF(H25=0,0,(IF(H25&lt;Описание!E$16,Описание!E$16*9.5%,(H25*9.5%))))</f>
        <v>0</v>
      </c>
      <c r="J25" s="165">
        <f>'РегистрСО ОСМС'!I25</f>
        <v>0</v>
      </c>
      <c r="K25" s="166">
        <f t="shared" si="2"/>
        <v>0</v>
      </c>
    </row>
    <row r="26" spans="1:13" x14ac:dyDescent="0.25">
      <c r="A26" s="116">
        <v>12</v>
      </c>
      <c r="B26" s="161">
        <f>'РегистрСО ОСМС'!B26</f>
        <v>0</v>
      </c>
      <c r="C26" s="162">
        <f>РегистрОПВ!E25</f>
        <v>0</v>
      </c>
      <c r="D26" s="163">
        <f>РегистрОПВ!L25</f>
        <v>0</v>
      </c>
      <c r="E26" s="163">
        <f>SUMIF(РегистрОПВ!B$14:B$25,РегистрСН!B26,РегистрОПВ!T$14:T$25)</f>
        <v>0</v>
      </c>
      <c r="F26" s="163">
        <f>'РегистрСО ОСМС'!K26</f>
        <v>0</v>
      </c>
      <c r="G26" s="188"/>
      <c r="H26" s="163">
        <f t="shared" si="1"/>
        <v>0</v>
      </c>
      <c r="I26" s="164">
        <f>IF(H26=0,0,(IF(H26&lt;Описание!E$16,Описание!E$16*9.5%,(H26*9.5%))))</f>
        <v>0</v>
      </c>
      <c r="J26" s="165">
        <f>'РегистрСО ОСМС'!I26</f>
        <v>0</v>
      </c>
      <c r="K26" s="166">
        <f>IF(I26&gt;J26,I26-J26,0)</f>
        <v>0</v>
      </c>
    </row>
    <row r="27" spans="1:13" x14ac:dyDescent="0.25">
      <c r="A27" s="167"/>
      <c r="B27" s="23" t="s">
        <v>148</v>
      </c>
      <c r="C27" s="50">
        <f t="shared" ref="C27:K27" si="3">SUM(C28:C39)</f>
        <v>0</v>
      </c>
      <c r="D27" s="50">
        <f t="shared" si="3"/>
        <v>0</v>
      </c>
      <c r="E27" s="50">
        <f t="shared" si="3"/>
        <v>0</v>
      </c>
      <c r="F27" s="50">
        <f t="shared" si="3"/>
        <v>0</v>
      </c>
      <c r="G27" s="50">
        <f t="shared" si="3"/>
        <v>0</v>
      </c>
      <c r="H27" s="50">
        <f t="shared" si="3"/>
        <v>0</v>
      </c>
      <c r="I27" s="50">
        <f t="shared" si="3"/>
        <v>0</v>
      </c>
      <c r="J27" s="50">
        <f t="shared" si="3"/>
        <v>0</v>
      </c>
      <c r="K27" s="50">
        <f t="shared" si="3"/>
        <v>0</v>
      </c>
    </row>
    <row r="28" spans="1:13" x14ac:dyDescent="0.25">
      <c r="A28" s="116">
        <v>1</v>
      </c>
      <c r="B28" s="161" t="str">
        <f>'РегистрСО ОСМС'!B28</f>
        <v>Первый</v>
      </c>
      <c r="C28" s="162">
        <f>РегистрОПВ!E27</f>
        <v>0</v>
      </c>
      <c r="D28" s="163">
        <f>РегистрОПВ!L27</f>
        <v>0</v>
      </c>
      <c r="E28" s="163">
        <f>SUMIF(РегистрОПВ!B$27:B$38,РегистрСН!B28,РегистрОПВ!T$27:T$38)</f>
        <v>0</v>
      </c>
      <c r="F28" s="163">
        <f>'РегистрСО ОСМС'!K28</f>
        <v>0</v>
      </c>
      <c r="G28" s="191"/>
      <c r="H28" s="163">
        <f>C28-D28-G28-E28</f>
        <v>0</v>
      </c>
      <c r="I28" s="164">
        <f>IF(H28=0,0,(IF(H28&lt;Описание!E$16,Описание!E$16*9.5%,(H28*9.5%))))</f>
        <v>0</v>
      </c>
      <c r="J28" s="165">
        <f>'РегистрСО ОСМС'!I28</f>
        <v>0</v>
      </c>
      <c r="K28" s="168">
        <f>IF(I28&gt;J28,I28-J28,0)</f>
        <v>0</v>
      </c>
    </row>
    <row r="29" spans="1:13" x14ac:dyDescent="0.25">
      <c r="A29" s="116">
        <v>2</v>
      </c>
      <c r="B29" s="161" t="str">
        <f>'РегистрСО ОСМС'!B29</f>
        <v>Второй</v>
      </c>
      <c r="C29" s="162">
        <f>РегистрОПВ!E28</f>
        <v>0</v>
      </c>
      <c r="D29" s="163">
        <f>РегистрОПВ!L28</f>
        <v>0</v>
      </c>
      <c r="E29" s="163">
        <f>SUMIF(РегистрОПВ!B$27:B$38,РегистрСН!B29,РегистрОПВ!T$27:T$38)</f>
        <v>0</v>
      </c>
      <c r="F29" s="163">
        <f>'РегистрСО ОСМС'!K29</f>
        <v>0</v>
      </c>
      <c r="G29" s="188"/>
      <c r="H29" s="163">
        <f t="shared" ref="H29:H38" si="4">C29-D29-G29-E29</f>
        <v>0</v>
      </c>
      <c r="I29" s="164">
        <f>IF(H29=0,0,(IF(H29&lt;Описание!E$16,Описание!E$16*9.5%,(H29*9.5%))))</f>
        <v>0</v>
      </c>
      <c r="J29" s="165">
        <f>'РегистрСО ОСМС'!I29</f>
        <v>0</v>
      </c>
      <c r="K29" s="168">
        <f t="shared" ref="K29:K38" si="5">IF(I29&gt;J29,I29-J29,0)</f>
        <v>0</v>
      </c>
    </row>
    <row r="30" spans="1:13" x14ac:dyDescent="0.25">
      <c r="A30" s="116">
        <v>3</v>
      </c>
      <c r="B30" s="161" t="str">
        <f>'РегистрСО ОСМС'!B30</f>
        <v>Третий</v>
      </c>
      <c r="C30" s="162">
        <f>РегистрОПВ!E29</f>
        <v>0</v>
      </c>
      <c r="D30" s="163">
        <f>РегистрОПВ!L29</f>
        <v>0</v>
      </c>
      <c r="E30" s="163">
        <f>SUMIF(РегистрОПВ!B$27:B$38,РегистрСН!B30,РегистрОПВ!T$27:T$38)</f>
        <v>0</v>
      </c>
      <c r="F30" s="163">
        <f>'РегистрСО ОСМС'!K30</f>
        <v>0</v>
      </c>
      <c r="G30" s="188"/>
      <c r="H30" s="163">
        <f t="shared" si="4"/>
        <v>0</v>
      </c>
      <c r="I30" s="164">
        <f>IF(H30=0,0,(IF(H30&lt;Описание!E$16,Описание!E$16*9.5%,(H30*9.5%))))</f>
        <v>0</v>
      </c>
      <c r="J30" s="165">
        <f>'РегистрСО ОСМС'!I30</f>
        <v>0</v>
      </c>
      <c r="K30" s="168">
        <f t="shared" si="5"/>
        <v>0</v>
      </c>
    </row>
    <row r="31" spans="1:13" x14ac:dyDescent="0.25">
      <c r="A31" s="116">
        <v>4</v>
      </c>
      <c r="B31" s="161" t="str">
        <f>'РегистрСО ОСМС'!B31</f>
        <v>Четвертый</v>
      </c>
      <c r="C31" s="162">
        <f>РегистрОПВ!E30</f>
        <v>0</v>
      </c>
      <c r="D31" s="163">
        <f>РегистрОПВ!L30</f>
        <v>0</v>
      </c>
      <c r="E31" s="163">
        <f>SUMIF(РегистрОПВ!B$27:B$38,РегистрСН!B31,РегистрОПВ!T$27:T$38)</f>
        <v>0</v>
      </c>
      <c r="F31" s="163">
        <f>'РегистрСО ОСМС'!K31</f>
        <v>0</v>
      </c>
      <c r="G31" s="188"/>
      <c r="H31" s="163">
        <f t="shared" si="4"/>
        <v>0</v>
      </c>
      <c r="I31" s="164">
        <f>IF(H31=0,0,(IF(H31&lt;Описание!E$16,Описание!E$16*9.5%,(H31*9.5%))))</f>
        <v>0</v>
      </c>
      <c r="J31" s="165">
        <f>'РегистрСО ОСМС'!I31</f>
        <v>0</v>
      </c>
      <c r="K31" s="168">
        <f t="shared" si="5"/>
        <v>0</v>
      </c>
      <c r="L31" s="9"/>
      <c r="M31" s="9"/>
    </row>
    <row r="32" spans="1:13" x14ac:dyDescent="0.25">
      <c r="A32" s="116">
        <v>5</v>
      </c>
      <c r="B32" s="161" t="str">
        <f>'РегистрСО ОСМС'!B32</f>
        <v>Пятый</v>
      </c>
      <c r="C32" s="162">
        <f>РегистрОПВ!E31</f>
        <v>0</v>
      </c>
      <c r="D32" s="163">
        <f>РегистрОПВ!L31</f>
        <v>0</v>
      </c>
      <c r="E32" s="163">
        <f>SUMIF(РегистрОПВ!B$27:B$38,РегистрСН!B32,РегистрОПВ!T$27:T$38)</f>
        <v>0</v>
      </c>
      <c r="F32" s="163">
        <f>'РегистрСО ОСМС'!K32</f>
        <v>0</v>
      </c>
      <c r="G32" s="188"/>
      <c r="H32" s="163">
        <f t="shared" si="4"/>
        <v>0</v>
      </c>
      <c r="I32" s="164">
        <f>IF(H32=0,0,(IF(H32&lt;Описание!E$16,Описание!E$16*9.5%,(H32*9.5%))))</f>
        <v>0</v>
      </c>
      <c r="J32" s="165">
        <f>'РегистрСО ОСМС'!I32</f>
        <v>0</v>
      </c>
      <c r="K32" s="168">
        <f t="shared" si="5"/>
        <v>0</v>
      </c>
    </row>
    <row r="33" spans="1:13" x14ac:dyDescent="0.25">
      <c r="A33" s="116">
        <v>6</v>
      </c>
      <c r="B33" s="161" t="str">
        <f>'РегистрСО ОСМС'!B33</f>
        <v>Шестой</v>
      </c>
      <c r="C33" s="162">
        <f>РегистрОПВ!E32</f>
        <v>0</v>
      </c>
      <c r="D33" s="163">
        <f>РегистрОПВ!L32</f>
        <v>0</v>
      </c>
      <c r="E33" s="163">
        <f>SUMIF(РегистрОПВ!B$27:B$38,РегистрСН!B33,РегистрОПВ!T$27:T$38)</f>
        <v>0</v>
      </c>
      <c r="F33" s="163">
        <f>'РегистрСО ОСМС'!K33</f>
        <v>0</v>
      </c>
      <c r="G33" s="188"/>
      <c r="H33" s="163">
        <f t="shared" si="4"/>
        <v>0</v>
      </c>
      <c r="I33" s="164">
        <f>IF(H33=0,0,(IF(H33&lt;Описание!E$16,Описание!E$16*9.5%,(H33*9.5%))))</f>
        <v>0</v>
      </c>
      <c r="J33" s="165">
        <f>'РегистрСО ОСМС'!I33</f>
        <v>0</v>
      </c>
      <c r="K33" s="168">
        <f t="shared" si="5"/>
        <v>0</v>
      </c>
    </row>
    <row r="34" spans="1:13" x14ac:dyDescent="0.25">
      <c r="A34" s="116">
        <v>7</v>
      </c>
      <c r="B34" s="161">
        <f>'РегистрСО ОСМС'!B34</f>
        <v>0</v>
      </c>
      <c r="C34" s="162">
        <f>РегистрОПВ!E33</f>
        <v>0</v>
      </c>
      <c r="D34" s="163">
        <f>РегистрОПВ!L33</f>
        <v>0</v>
      </c>
      <c r="E34" s="163">
        <f>SUMIF(РегистрОПВ!B$27:B$38,РегистрСН!B34,РегистрОПВ!T$27:T$38)</f>
        <v>0</v>
      </c>
      <c r="F34" s="163">
        <f>'РегистрСО ОСМС'!K34</f>
        <v>0</v>
      </c>
      <c r="G34" s="188"/>
      <c r="H34" s="163">
        <f t="shared" si="4"/>
        <v>0</v>
      </c>
      <c r="I34" s="164">
        <f>IF(H34=0,0,(IF(H34&lt;Описание!E$16,Описание!E$16*9.5%,(H34*9.5%))))</f>
        <v>0</v>
      </c>
      <c r="J34" s="165">
        <f>'РегистрСО ОСМС'!I34</f>
        <v>0</v>
      </c>
      <c r="K34" s="168">
        <f t="shared" si="5"/>
        <v>0</v>
      </c>
    </row>
    <row r="35" spans="1:13" x14ac:dyDescent="0.25">
      <c r="A35" s="116">
        <v>8</v>
      </c>
      <c r="B35" s="161">
        <f>'РегистрСО ОСМС'!B35</f>
        <v>0</v>
      </c>
      <c r="C35" s="162">
        <f>РегистрОПВ!E34</f>
        <v>0</v>
      </c>
      <c r="D35" s="163">
        <f>РегистрОПВ!L34</f>
        <v>0</v>
      </c>
      <c r="E35" s="163">
        <f>SUMIF(РегистрОПВ!B$27:B$38,РегистрСН!B35,РегистрОПВ!T$27:T$38)</f>
        <v>0</v>
      </c>
      <c r="F35" s="163">
        <f>'РегистрСО ОСМС'!K35</f>
        <v>0</v>
      </c>
      <c r="G35" s="188"/>
      <c r="H35" s="163">
        <f t="shared" si="4"/>
        <v>0</v>
      </c>
      <c r="I35" s="164">
        <f>IF(H35=0,0,(IF(H35&lt;Описание!E$16,Описание!E$16*9.5%,(H35*9.5%))))</f>
        <v>0</v>
      </c>
      <c r="J35" s="165">
        <f>'РегистрСО ОСМС'!I35</f>
        <v>0</v>
      </c>
      <c r="K35" s="168">
        <f t="shared" si="5"/>
        <v>0</v>
      </c>
    </row>
    <row r="36" spans="1:13" ht="15" customHeight="1" x14ac:dyDescent="0.25">
      <c r="A36" s="116">
        <v>9</v>
      </c>
      <c r="B36" s="161">
        <f>'РегистрСО ОСМС'!B36</f>
        <v>0</v>
      </c>
      <c r="C36" s="162">
        <f>РегистрОПВ!E35</f>
        <v>0</v>
      </c>
      <c r="D36" s="163">
        <f>РегистрОПВ!L35</f>
        <v>0</v>
      </c>
      <c r="E36" s="163">
        <f>SUMIF(РегистрОПВ!B$27:B$38,РегистрСН!B36,РегистрОПВ!T$27:T$38)</f>
        <v>0</v>
      </c>
      <c r="F36" s="163">
        <f>'РегистрСО ОСМС'!K36</f>
        <v>0</v>
      </c>
      <c r="G36" s="191"/>
      <c r="H36" s="163">
        <f t="shared" si="4"/>
        <v>0</v>
      </c>
      <c r="I36" s="164">
        <f>IF(H36=0,0,(IF(H36&lt;Описание!E$16,Описание!E$16*9.5%,(H36*9.5%))))</f>
        <v>0</v>
      </c>
      <c r="J36" s="165">
        <f>'РегистрСО ОСМС'!I36</f>
        <v>0</v>
      </c>
      <c r="K36" s="168">
        <f t="shared" si="5"/>
        <v>0</v>
      </c>
    </row>
    <row r="37" spans="1:13" ht="22.5" customHeight="1" x14ac:dyDescent="0.25">
      <c r="A37" s="116">
        <v>10</v>
      </c>
      <c r="B37" s="161">
        <f>'РегистрСО ОСМС'!B37</f>
        <v>0</v>
      </c>
      <c r="C37" s="162">
        <f>РегистрОПВ!E36</f>
        <v>0</v>
      </c>
      <c r="D37" s="163">
        <f>РегистрОПВ!L36</f>
        <v>0</v>
      </c>
      <c r="E37" s="163">
        <f>SUMIF(РегистрОПВ!B$27:B$38,РегистрСН!B37,РегистрОПВ!T$27:T$38)</f>
        <v>0</v>
      </c>
      <c r="F37" s="163">
        <f>'РегистрСО ОСМС'!K37</f>
        <v>0</v>
      </c>
      <c r="G37" s="188"/>
      <c r="H37" s="163">
        <f t="shared" si="4"/>
        <v>0</v>
      </c>
      <c r="I37" s="164">
        <f>IF(H37=0,0,(IF(H37&lt;Описание!E$16,Описание!E$16*9.5%,(H37*9.5%))))</f>
        <v>0</v>
      </c>
      <c r="J37" s="165">
        <f>'РегистрСО ОСМС'!I37</f>
        <v>0</v>
      </c>
      <c r="K37" s="168">
        <f t="shared" si="5"/>
        <v>0</v>
      </c>
    </row>
    <row r="38" spans="1:13" ht="15" customHeight="1" x14ac:dyDescent="0.25">
      <c r="A38" s="116">
        <v>11</v>
      </c>
      <c r="B38" s="161">
        <f>'РегистрСО ОСМС'!B38</f>
        <v>0</v>
      </c>
      <c r="C38" s="162">
        <f>РегистрОПВ!E37</f>
        <v>0</v>
      </c>
      <c r="D38" s="163">
        <f>РегистрОПВ!L37</f>
        <v>0</v>
      </c>
      <c r="E38" s="163">
        <f>SUMIF(РегистрОПВ!B$27:B$38,РегистрСН!B38,РегистрОПВ!T$27:T$38)</f>
        <v>0</v>
      </c>
      <c r="F38" s="163">
        <f>'РегистрСО ОСМС'!K38</f>
        <v>0</v>
      </c>
      <c r="G38" s="188"/>
      <c r="H38" s="163">
        <f t="shared" si="4"/>
        <v>0</v>
      </c>
      <c r="I38" s="164">
        <f>IF(H38=0,0,(IF(H38&lt;Описание!E$16,Описание!E$16*9.5%,(H38*9.5%))))</f>
        <v>0</v>
      </c>
      <c r="J38" s="165">
        <f>'РегистрСО ОСМС'!I38</f>
        <v>0</v>
      </c>
      <c r="K38" s="168">
        <f t="shared" si="5"/>
        <v>0</v>
      </c>
    </row>
    <row r="39" spans="1:13" x14ac:dyDescent="0.25">
      <c r="A39" s="116">
        <v>12</v>
      </c>
      <c r="B39" s="161">
        <f>'РегистрСО ОСМС'!B39</f>
        <v>0</v>
      </c>
      <c r="C39" s="162">
        <f>РегистрОПВ!E38</f>
        <v>0</v>
      </c>
      <c r="D39" s="163">
        <f>РегистрОПВ!L38</f>
        <v>0</v>
      </c>
      <c r="E39" s="163">
        <f>SUMIF(РегистрОПВ!B$27:B$38,РегистрСН!B39,РегистрОПВ!T$27:T$38)</f>
        <v>0</v>
      </c>
      <c r="F39" s="163">
        <f>'РегистрСО ОСМС'!K39</f>
        <v>0</v>
      </c>
      <c r="G39" s="188"/>
      <c r="H39" s="163">
        <f>C39-D39-G39</f>
        <v>0</v>
      </c>
      <c r="I39" s="164">
        <f>IF(H39=0,0,(IF(H39&lt;Описание!E$16,Описание!E$16*9.5%,(H39*9.5%))))</f>
        <v>0</v>
      </c>
      <c r="J39" s="165">
        <f>'РегистрСО ОСМС'!I39</f>
        <v>0</v>
      </c>
      <c r="K39" s="168">
        <f>IF(I39&gt;J39,I39-J39,0)</f>
        <v>0</v>
      </c>
    </row>
    <row r="40" spans="1:13" x14ac:dyDescent="0.25">
      <c r="A40" s="169"/>
      <c r="B40" s="170" t="s">
        <v>149</v>
      </c>
      <c r="C40" s="50">
        <f t="shared" ref="C40:K40" si="6">SUM(C41:C53)</f>
        <v>0</v>
      </c>
      <c r="D40" s="50">
        <f t="shared" si="6"/>
        <v>0</v>
      </c>
      <c r="E40" s="50">
        <f t="shared" si="6"/>
        <v>0</v>
      </c>
      <c r="F40" s="50">
        <f t="shared" si="6"/>
        <v>0</v>
      </c>
      <c r="G40" s="50">
        <f t="shared" si="6"/>
        <v>0</v>
      </c>
      <c r="H40" s="50">
        <f t="shared" si="6"/>
        <v>0</v>
      </c>
      <c r="I40" s="50">
        <f t="shared" si="6"/>
        <v>0</v>
      </c>
      <c r="J40" s="50">
        <f t="shared" si="6"/>
        <v>0</v>
      </c>
      <c r="K40" s="50">
        <f t="shared" si="6"/>
        <v>0</v>
      </c>
    </row>
    <row r="41" spans="1:13" x14ac:dyDescent="0.25">
      <c r="A41" s="116">
        <v>1</v>
      </c>
      <c r="B41" s="161" t="str">
        <f>'РегистрСО ОСМС'!B41</f>
        <v>Первый</v>
      </c>
      <c r="C41" s="162">
        <f>РегистрОПВ!E40</f>
        <v>0</v>
      </c>
      <c r="D41" s="163">
        <f>РегистрОПВ!L40</f>
        <v>0</v>
      </c>
      <c r="E41" s="163">
        <f>SUMIF(РегистрОПВ!B$40:B$52,РегистрСН!B41,РегистрОПВ!T$40:T$52)</f>
        <v>0</v>
      </c>
      <c r="F41" s="163">
        <f>'РегистрСО ОСМС'!K41</f>
        <v>0</v>
      </c>
      <c r="G41" s="191"/>
      <c r="H41" s="163">
        <f t="shared" ref="H41:H53" si="7">C41-D41-G41-E41</f>
        <v>0</v>
      </c>
      <c r="I41" s="164">
        <f>IF(H41=0,0,(IF(H41&lt;Описание!E$16,Описание!E$16*9.5%,(H41*9.5%))))</f>
        <v>0</v>
      </c>
      <c r="J41" s="165">
        <f>'РегистрСО ОСМС'!I41</f>
        <v>0</v>
      </c>
      <c r="K41" s="168">
        <f>IF(I41&gt;J41,I41-J41,0)</f>
        <v>0</v>
      </c>
    </row>
    <row r="42" spans="1:13" x14ac:dyDescent="0.25">
      <c r="A42" s="116">
        <v>2</v>
      </c>
      <c r="B42" s="161" t="str">
        <f>'РегистрСО ОСМС'!B42</f>
        <v>Второй</v>
      </c>
      <c r="C42" s="162">
        <f>РегистрОПВ!E41</f>
        <v>0</v>
      </c>
      <c r="D42" s="163">
        <f>РегистрОПВ!L41</f>
        <v>0</v>
      </c>
      <c r="E42" s="163">
        <f>SUMIF(РегистрОПВ!B$40:B$52,РегистрСН!B42,РегистрОПВ!T$40:T$52)</f>
        <v>0</v>
      </c>
      <c r="F42" s="163">
        <f>'РегистрСО ОСМС'!K42</f>
        <v>0</v>
      </c>
      <c r="G42" s="188"/>
      <c r="H42" s="163">
        <f t="shared" si="7"/>
        <v>0</v>
      </c>
      <c r="I42" s="164">
        <f>IF(H42=0,0,(IF(H42&lt;Описание!E$16,Описание!E$16*9.5%,(H42*9.5%))))</f>
        <v>0</v>
      </c>
      <c r="J42" s="165">
        <f>'РегистрСО ОСМС'!I42</f>
        <v>0</v>
      </c>
      <c r="K42" s="168">
        <f t="shared" ref="K42:K51" si="8">IF(I42&gt;J42,I42-J42,0)</f>
        <v>0</v>
      </c>
      <c r="L42" s="9"/>
      <c r="M42" s="9"/>
    </row>
    <row r="43" spans="1:13" x14ac:dyDescent="0.25">
      <c r="A43" s="116">
        <v>3</v>
      </c>
      <c r="B43" s="161" t="str">
        <f>'РегистрСО ОСМС'!B43</f>
        <v>Третий</v>
      </c>
      <c r="C43" s="162">
        <f>РегистрОПВ!E42</f>
        <v>0</v>
      </c>
      <c r="D43" s="163">
        <f>РегистрОПВ!L42</f>
        <v>0</v>
      </c>
      <c r="E43" s="163">
        <f>SUMIF(РегистрОПВ!B$40:B$52,РегистрСН!B43,РегистрОПВ!T$40:T$52)</f>
        <v>0</v>
      </c>
      <c r="F43" s="163">
        <f>'РегистрСО ОСМС'!K43</f>
        <v>0</v>
      </c>
      <c r="G43" s="188"/>
      <c r="H43" s="163">
        <f t="shared" si="7"/>
        <v>0</v>
      </c>
      <c r="I43" s="164">
        <f>IF(H43=0,0,(IF(H43&lt;Описание!E$16,Описание!E$16*9.5%,(H43*9.5%))))</f>
        <v>0</v>
      </c>
      <c r="J43" s="165">
        <f>'РегистрСО ОСМС'!I43</f>
        <v>0</v>
      </c>
      <c r="K43" s="168">
        <f t="shared" si="8"/>
        <v>0</v>
      </c>
    </row>
    <row r="44" spans="1:13" x14ac:dyDescent="0.25">
      <c r="A44" s="116">
        <v>4</v>
      </c>
      <c r="B44" s="161" t="str">
        <f>'РегистрСО ОСМС'!B44</f>
        <v>Четвертый</v>
      </c>
      <c r="C44" s="162">
        <f>РегистрОПВ!E43</f>
        <v>0</v>
      </c>
      <c r="D44" s="163">
        <f>РегистрОПВ!L43</f>
        <v>0</v>
      </c>
      <c r="E44" s="163">
        <f>SUMIF(РегистрОПВ!B$40:B$52,РегистрСН!B44,РегистрОПВ!T$40:T$52)</f>
        <v>0</v>
      </c>
      <c r="F44" s="163">
        <f>'РегистрСО ОСМС'!K44</f>
        <v>0</v>
      </c>
      <c r="G44" s="188"/>
      <c r="H44" s="163">
        <f t="shared" si="7"/>
        <v>0</v>
      </c>
      <c r="I44" s="164">
        <f>IF(H44=0,0,(IF(H44&lt;Описание!E$16,Описание!E$16*9.5%,(H44*9.5%))))</f>
        <v>0</v>
      </c>
      <c r="J44" s="165">
        <f>'РегистрСО ОСМС'!I44</f>
        <v>0</v>
      </c>
      <c r="K44" s="168">
        <f t="shared" si="8"/>
        <v>0</v>
      </c>
    </row>
    <row r="45" spans="1:13" x14ac:dyDescent="0.25">
      <c r="A45" s="116">
        <v>5</v>
      </c>
      <c r="B45" s="161" t="str">
        <f>'РегистрСО ОСМС'!B45</f>
        <v>Пятый</v>
      </c>
      <c r="C45" s="162">
        <f>РегистрОПВ!E44</f>
        <v>0</v>
      </c>
      <c r="D45" s="163">
        <f>РегистрОПВ!L44</f>
        <v>0</v>
      </c>
      <c r="E45" s="163">
        <f>SUMIF(РегистрОПВ!B$40:B$52,РегистрСН!B45,РегистрОПВ!T$40:T$52)</f>
        <v>0</v>
      </c>
      <c r="F45" s="163">
        <f>'РегистрСО ОСМС'!K45</f>
        <v>0</v>
      </c>
      <c r="G45" s="188"/>
      <c r="H45" s="163">
        <f t="shared" si="7"/>
        <v>0</v>
      </c>
      <c r="I45" s="164">
        <f>IF(H45=0,0,(IF(H45&lt;Описание!E$16,Описание!E$16*9.5%,(H45*9.5%))))</f>
        <v>0</v>
      </c>
      <c r="J45" s="165">
        <f>'РегистрСО ОСМС'!I45</f>
        <v>0</v>
      </c>
      <c r="K45" s="168">
        <f t="shared" si="8"/>
        <v>0</v>
      </c>
    </row>
    <row r="46" spans="1:13" x14ac:dyDescent="0.25">
      <c r="A46" s="116">
        <v>6</v>
      </c>
      <c r="B46" s="161" t="str">
        <f>'РегистрСО ОСМС'!B46</f>
        <v>Шестой</v>
      </c>
      <c r="C46" s="162">
        <f>РегистрОПВ!E45</f>
        <v>0</v>
      </c>
      <c r="D46" s="163">
        <f>РегистрОПВ!L45</f>
        <v>0</v>
      </c>
      <c r="E46" s="163">
        <f>SUMIF(РегистрОПВ!B$40:B$52,РегистрСН!B46,РегистрОПВ!T$40:T$52)</f>
        <v>0</v>
      </c>
      <c r="F46" s="163">
        <f>'РегистрСО ОСМС'!K46</f>
        <v>0</v>
      </c>
      <c r="G46" s="188"/>
      <c r="H46" s="163">
        <f t="shared" si="7"/>
        <v>0</v>
      </c>
      <c r="I46" s="164">
        <f>IF(H46=0,0,(IF(H46&lt;Описание!E$16,Описание!E$16*9.5%,(H46*9.5%))))</f>
        <v>0</v>
      </c>
      <c r="J46" s="165">
        <f>'РегистрСО ОСМС'!I46</f>
        <v>0</v>
      </c>
      <c r="K46" s="168">
        <f t="shared" si="8"/>
        <v>0</v>
      </c>
    </row>
    <row r="47" spans="1:13" x14ac:dyDescent="0.25">
      <c r="A47" s="116">
        <v>7</v>
      </c>
      <c r="B47" s="161">
        <f>'РегистрСО ОСМС'!B47</f>
        <v>0</v>
      </c>
      <c r="C47" s="162">
        <f>РегистрОПВ!E46</f>
        <v>0</v>
      </c>
      <c r="D47" s="163">
        <f>РегистрОПВ!L46</f>
        <v>0</v>
      </c>
      <c r="E47" s="163">
        <f>SUMIF(РегистрОПВ!B$40:B$52,РегистрСН!B47,РегистрОПВ!T$40:T$52)</f>
        <v>0</v>
      </c>
      <c r="F47" s="163">
        <f>'РегистрСО ОСМС'!K47</f>
        <v>0</v>
      </c>
      <c r="G47" s="188"/>
      <c r="H47" s="163">
        <f t="shared" si="7"/>
        <v>0</v>
      </c>
      <c r="I47" s="164">
        <f>IF(H47=0,0,(IF(H47&lt;Описание!E$16,Описание!E$16*9.5%,(H47*9.5%))))</f>
        <v>0</v>
      </c>
      <c r="J47" s="165">
        <f>'РегистрСО ОСМС'!I47</f>
        <v>0</v>
      </c>
      <c r="K47" s="168">
        <f t="shared" si="8"/>
        <v>0</v>
      </c>
    </row>
    <row r="48" spans="1:13" x14ac:dyDescent="0.25">
      <c r="A48" s="116">
        <v>8</v>
      </c>
      <c r="B48" s="161">
        <f>'РегистрСО ОСМС'!B48</f>
        <v>0</v>
      </c>
      <c r="C48" s="162">
        <f>РегистрОПВ!E47</f>
        <v>0</v>
      </c>
      <c r="D48" s="163">
        <f>РегистрОПВ!L47</f>
        <v>0</v>
      </c>
      <c r="E48" s="163">
        <f>SUMIF(РегистрОПВ!B$40:B$52,РегистрСН!B48,РегистрОПВ!T$40:T$52)</f>
        <v>0</v>
      </c>
      <c r="F48" s="163">
        <f>'РегистрСО ОСМС'!K48</f>
        <v>0</v>
      </c>
      <c r="G48" s="188"/>
      <c r="H48" s="163">
        <f t="shared" si="7"/>
        <v>0</v>
      </c>
      <c r="I48" s="164">
        <f>IF(H48=0,0,(IF(H48&lt;Описание!E$16,Описание!E$16*9.5%,(H48*9.5%))))</f>
        <v>0</v>
      </c>
      <c r="J48" s="165">
        <f>'РегистрСО ОСМС'!I48</f>
        <v>0</v>
      </c>
      <c r="K48" s="168">
        <f t="shared" si="8"/>
        <v>0</v>
      </c>
    </row>
    <row r="49" spans="1:13" x14ac:dyDescent="0.25">
      <c r="A49" s="116">
        <v>9</v>
      </c>
      <c r="B49" s="161">
        <f>'РегистрСО ОСМС'!B49</f>
        <v>0</v>
      </c>
      <c r="C49" s="162">
        <f>РегистрОПВ!E48</f>
        <v>0</v>
      </c>
      <c r="D49" s="163">
        <f>РегистрОПВ!L48</f>
        <v>0</v>
      </c>
      <c r="E49" s="163">
        <f>SUMIF(РегистрОПВ!B$40:B$52,РегистрСН!B49,РегистрОПВ!T$40:T$52)</f>
        <v>0</v>
      </c>
      <c r="F49" s="163">
        <f>'РегистрСО ОСМС'!K49</f>
        <v>0</v>
      </c>
      <c r="G49" s="191"/>
      <c r="H49" s="163">
        <f t="shared" si="7"/>
        <v>0</v>
      </c>
      <c r="I49" s="164">
        <f>IF(H49=0,0,(IF(H49&lt;Описание!E$16,Описание!E$16*9.5%,(H49*9.5%))))</f>
        <v>0</v>
      </c>
      <c r="J49" s="165">
        <f>'РегистрСО ОСМС'!I49</f>
        <v>0</v>
      </c>
      <c r="K49" s="168">
        <f t="shared" si="8"/>
        <v>0</v>
      </c>
    </row>
    <row r="50" spans="1:13" x14ac:dyDescent="0.25">
      <c r="A50" s="116">
        <v>10</v>
      </c>
      <c r="B50" s="161">
        <f>'РегистрСО ОСМС'!B50</f>
        <v>0</v>
      </c>
      <c r="C50" s="162">
        <f>РегистрОПВ!E49</f>
        <v>0</v>
      </c>
      <c r="D50" s="163">
        <f>РегистрОПВ!L49</f>
        <v>0</v>
      </c>
      <c r="E50" s="163">
        <f>SUMIF(РегистрОПВ!B$40:B$52,РегистрСН!B50,РегистрОПВ!T$40:T$52)</f>
        <v>0</v>
      </c>
      <c r="F50" s="163">
        <f>'РегистрСО ОСМС'!K50</f>
        <v>0</v>
      </c>
      <c r="G50" s="188"/>
      <c r="H50" s="163">
        <f t="shared" si="7"/>
        <v>0</v>
      </c>
      <c r="I50" s="164">
        <f>IF(H50=0,0,(IF(H50&lt;Описание!E$16,Описание!E$16*9.5%,(H50*9.5%))))</f>
        <v>0</v>
      </c>
      <c r="J50" s="165">
        <f>'РегистрСО ОСМС'!I50</f>
        <v>0</v>
      </c>
      <c r="K50" s="168">
        <f t="shared" si="8"/>
        <v>0</v>
      </c>
    </row>
    <row r="51" spans="1:13" x14ac:dyDescent="0.25">
      <c r="A51" s="116">
        <v>11</v>
      </c>
      <c r="B51" s="161">
        <f>'РегистрСО ОСМС'!B51</f>
        <v>0</v>
      </c>
      <c r="C51" s="162">
        <f>РегистрОПВ!E50</f>
        <v>0</v>
      </c>
      <c r="D51" s="163">
        <f>РегистрОПВ!L50</f>
        <v>0</v>
      </c>
      <c r="E51" s="163">
        <f>SUMIF(РегистрОПВ!B$40:B$52,РегистрСН!B51,РегистрОПВ!T$40:T$52)</f>
        <v>0</v>
      </c>
      <c r="F51" s="163">
        <f>'РегистрСО ОСМС'!K51</f>
        <v>0</v>
      </c>
      <c r="G51" s="188"/>
      <c r="H51" s="163">
        <f t="shared" si="7"/>
        <v>0</v>
      </c>
      <c r="I51" s="164">
        <f>IF(H51=0,0,(IF(H51&lt;Описание!E$16,Описание!E$16*9.5%,(H51*9.5%))))</f>
        <v>0</v>
      </c>
      <c r="J51" s="165">
        <f>'РегистрСО ОСМС'!I51</f>
        <v>0</v>
      </c>
      <c r="K51" s="168">
        <f t="shared" si="8"/>
        <v>0</v>
      </c>
    </row>
    <row r="52" spans="1:13" x14ac:dyDescent="0.25">
      <c r="A52" s="116">
        <v>12</v>
      </c>
      <c r="B52" s="161">
        <f>'РегистрСО ОСМС'!B52</f>
        <v>0</v>
      </c>
      <c r="C52" s="162">
        <f>РегистрОПВ!E51</f>
        <v>0</v>
      </c>
      <c r="D52" s="163">
        <f>РегистрОПВ!L51</f>
        <v>0</v>
      </c>
      <c r="E52" s="163">
        <f>SUMIF(РегистрОПВ!B$40:B$52,РегистрСН!B52,РегистрОПВ!T$40:T$52)</f>
        <v>0</v>
      </c>
      <c r="F52" s="163">
        <f>'РегистрСО ОСМС'!K52</f>
        <v>0</v>
      </c>
      <c r="G52" s="188"/>
      <c r="H52" s="163">
        <f t="shared" si="7"/>
        <v>0</v>
      </c>
      <c r="I52" s="164">
        <f>IF(H52=0,0,(IF(H52&lt;Описание!E$16,Описание!E$16*9.5%,(H52*9.5%))))</f>
        <v>0</v>
      </c>
      <c r="J52" s="165">
        <f>'РегистрСО ОСМС'!I52</f>
        <v>0</v>
      </c>
      <c r="K52" s="168">
        <f>IF(I52&gt;J52,I52-J52,0)</f>
        <v>0</v>
      </c>
    </row>
    <row r="53" spans="1:13" x14ac:dyDescent="0.25">
      <c r="A53" s="116">
        <v>13</v>
      </c>
      <c r="B53" s="161">
        <f>'РегистрСО ОСМС'!B53</f>
        <v>0</v>
      </c>
      <c r="C53" s="162">
        <f>РегистрОПВ!E52</f>
        <v>0</v>
      </c>
      <c r="D53" s="163">
        <f>РегистрОПВ!L52</f>
        <v>0</v>
      </c>
      <c r="E53" s="163">
        <f>SUMIF(РегистрОПВ!B$40:B$52,РегистрСН!B53,РегистрОПВ!T$40:T$52)</f>
        <v>0</v>
      </c>
      <c r="F53" s="163">
        <f>'РегистрСО ОСМС'!K53</f>
        <v>0</v>
      </c>
      <c r="G53" s="191"/>
      <c r="H53" s="163">
        <f t="shared" si="7"/>
        <v>0</v>
      </c>
      <c r="I53" s="164">
        <f>IF(H53=0,0,(IF(H53&lt;Описание!E$16,Описание!E$16*9.5%,(H53*9.5%))))</f>
        <v>0</v>
      </c>
      <c r="J53" s="165">
        <f>'РегистрСО ОСМС'!I53</f>
        <v>0</v>
      </c>
      <c r="K53" s="168">
        <f>IF(I53&gt;J53,I53-J53,0)</f>
        <v>0</v>
      </c>
      <c r="L53" s="9"/>
      <c r="M53" s="9"/>
    </row>
    <row r="54" spans="1:13" s="9" customFormat="1" ht="29.25" customHeight="1" thickBot="1" x14ac:dyDescent="0.3">
      <c r="A54" s="323" t="s">
        <v>147</v>
      </c>
      <c r="B54" s="324"/>
      <c r="C54" s="53">
        <f t="shared" ref="C54:K54" si="9">C40+C27+C14</f>
        <v>0</v>
      </c>
      <c r="D54" s="53">
        <f t="shared" si="9"/>
        <v>0</v>
      </c>
      <c r="E54" s="53">
        <f t="shared" si="9"/>
        <v>0</v>
      </c>
      <c r="F54" s="53"/>
      <c r="G54" s="53">
        <f t="shared" si="9"/>
        <v>0</v>
      </c>
      <c r="H54" s="53">
        <f t="shared" si="9"/>
        <v>0</v>
      </c>
      <c r="I54" s="53">
        <f t="shared" si="9"/>
        <v>0</v>
      </c>
      <c r="J54" s="53">
        <f t="shared" si="9"/>
        <v>0</v>
      </c>
      <c r="K54" s="53">
        <f t="shared" si="9"/>
        <v>0</v>
      </c>
      <c r="L54" s="48"/>
      <c r="M54" s="48"/>
    </row>
    <row r="55" spans="1:13" x14ac:dyDescent="0.25">
      <c r="A55" s="152"/>
      <c r="B55" s="94"/>
      <c r="C55" s="94"/>
      <c r="D55" s="94"/>
      <c r="E55" s="94"/>
      <c r="F55" s="94"/>
      <c r="G55" s="94"/>
      <c r="H55" s="94"/>
      <c r="I55" s="94"/>
      <c r="J55" s="94"/>
    </row>
    <row r="56" spans="1:13" s="9" customFormat="1" x14ac:dyDescent="0.25">
      <c r="A56" s="61" t="s">
        <v>96</v>
      </c>
      <c r="C56" s="121"/>
      <c r="D56" s="121"/>
      <c r="E56" s="121"/>
      <c r="F56" s="121"/>
      <c r="G56" s="121"/>
      <c r="H56" s="121"/>
      <c r="K56" s="171"/>
    </row>
    <row r="57" spans="1:13" x14ac:dyDescent="0.25">
      <c r="A57" s="61" t="s">
        <v>97</v>
      </c>
      <c r="B57" s="94"/>
      <c r="C57" s="121"/>
      <c r="D57" s="121"/>
      <c r="E57" s="121"/>
      <c r="F57" s="121"/>
      <c r="G57" s="121"/>
      <c r="H57" s="121"/>
      <c r="K57" s="9"/>
    </row>
    <row r="58" spans="1:13" s="9" customFormat="1" x14ac:dyDescent="0.25">
      <c r="A58" s="61" t="s">
        <v>96</v>
      </c>
      <c r="C58" s="121"/>
      <c r="D58" s="121"/>
      <c r="E58" s="121"/>
      <c r="F58" s="121"/>
      <c r="G58" s="121"/>
      <c r="H58" s="121"/>
    </row>
    <row r="59" spans="1:13" ht="14.25" customHeight="1" x14ac:dyDescent="0.25">
      <c r="A59" s="61" t="s">
        <v>98</v>
      </c>
      <c r="B59" s="94"/>
      <c r="C59" s="121"/>
      <c r="D59" s="121"/>
      <c r="E59" s="121"/>
      <c r="F59" s="121"/>
      <c r="G59" s="121"/>
      <c r="H59" s="121"/>
      <c r="K59" s="172"/>
    </row>
    <row r="60" spans="1:13" s="9" customFormat="1" ht="14.25" customHeight="1" x14ac:dyDescent="0.25">
      <c r="A60" s="61" t="s">
        <v>96</v>
      </c>
      <c r="C60" s="121"/>
      <c r="D60" s="121"/>
      <c r="E60" s="121"/>
      <c r="F60" s="121"/>
      <c r="G60" s="121"/>
      <c r="H60" s="121"/>
    </row>
    <row r="61" spans="1:13" ht="14.25" customHeight="1" x14ac:dyDescent="0.25">
      <c r="A61" s="61" t="s">
        <v>99</v>
      </c>
      <c r="B61" s="94"/>
      <c r="C61" s="121"/>
      <c r="D61" s="121"/>
      <c r="E61" s="121"/>
      <c r="F61" s="121"/>
      <c r="G61" s="121"/>
      <c r="H61" s="121"/>
    </row>
    <row r="62" spans="1:13" ht="14.25" customHeight="1" x14ac:dyDescent="0.25">
      <c r="A62" s="61" t="s">
        <v>100</v>
      </c>
      <c r="B62" s="115"/>
      <c r="C62" s="121"/>
      <c r="D62" s="121"/>
      <c r="E62" s="121"/>
      <c r="F62" s="121"/>
      <c r="G62" s="121"/>
      <c r="H62" s="121"/>
    </row>
    <row r="63" spans="1:13" ht="14.25" customHeight="1" x14ac:dyDescent="0.25">
      <c r="A63" s="61" t="s">
        <v>101</v>
      </c>
      <c r="B63" s="94"/>
      <c r="C63" s="121"/>
      <c r="D63" s="121"/>
      <c r="E63" s="121"/>
      <c r="F63" s="121"/>
      <c r="G63" s="121"/>
      <c r="H63" s="121"/>
    </row>
  </sheetData>
  <mergeCells count="4">
    <mergeCell ref="I1:J1"/>
    <mergeCell ref="I2:J2"/>
    <mergeCell ref="I4:J4"/>
    <mergeCell ref="A54:B5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AG49"/>
  <sheetViews>
    <sheetView topLeftCell="Q7" workbookViewId="0">
      <selection activeCell="W14" sqref="W14"/>
    </sheetView>
  </sheetViews>
  <sheetFormatPr defaultColWidth="9.109375" defaultRowHeight="13.2" x14ac:dyDescent="0.25"/>
  <cols>
    <col min="1" max="1" width="4.5546875" style="48" customWidth="1"/>
    <col min="2" max="3" width="17.44140625" style="48" customWidth="1"/>
    <col min="4" max="19" width="12.5546875" style="48" customWidth="1"/>
    <col min="20" max="20" width="9.6640625" style="48" bestFit="1" customWidth="1"/>
    <col min="21" max="21" width="9.44140625" style="48" bestFit="1" customWidth="1"/>
    <col min="22" max="22" width="11.88671875" style="48" bestFit="1" customWidth="1"/>
    <col min="23" max="23" width="10.33203125" style="48" customWidth="1"/>
    <col min="24" max="24" width="12" style="48" customWidth="1"/>
    <col min="25" max="25" width="9.33203125" style="48" bestFit="1" customWidth="1"/>
    <col min="26" max="27" width="10.109375" style="48" bestFit="1" customWidth="1"/>
    <col min="28" max="29" width="11.88671875" style="48" customWidth="1"/>
    <col min="30" max="30" width="14.88671875" style="48" customWidth="1"/>
    <col min="31" max="32" width="13.5546875" style="48" customWidth="1"/>
    <col min="33" max="33" width="11.88671875" style="48" customWidth="1"/>
    <col min="34" max="16384" width="9.109375" style="48"/>
  </cols>
  <sheetData>
    <row r="3" spans="1:33" x14ac:dyDescent="0.25">
      <c r="A3" s="5" t="s">
        <v>185</v>
      </c>
    </row>
    <row r="5" spans="1:33" ht="13.8" thickBot="1" x14ac:dyDescent="0.3"/>
    <row r="6" spans="1:33" ht="132.6" thickBot="1" x14ac:dyDescent="0.3">
      <c r="A6" s="42" t="s">
        <v>88</v>
      </c>
      <c r="B6" s="43" t="s">
        <v>186</v>
      </c>
      <c r="C6" s="43" t="s">
        <v>221</v>
      </c>
      <c r="D6" s="43" t="s">
        <v>187</v>
      </c>
      <c r="E6" s="43" t="s">
        <v>191</v>
      </c>
      <c r="F6" s="58" t="s">
        <v>230</v>
      </c>
      <c r="G6" s="58" t="s">
        <v>231</v>
      </c>
      <c r="H6" s="58" t="s">
        <v>112</v>
      </c>
      <c r="I6" s="58" t="s">
        <v>94</v>
      </c>
      <c r="J6" s="58" t="s">
        <v>95</v>
      </c>
      <c r="K6" s="59" t="s">
        <v>113</v>
      </c>
      <c r="L6" s="59" t="s">
        <v>114</v>
      </c>
      <c r="M6" s="59" t="s">
        <v>232</v>
      </c>
      <c r="N6" s="59" t="s">
        <v>233</v>
      </c>
      <c r="O6" s="59" t="s">
        <v>229</v>
      </c>
      <c r="P6" s="43" t="s">
        <v>223</v>
      </c>
      <c r="Q6" s="43" t="s">
        <v>225</v>
      </c>
      <c r="R6" s="43" t="s">
        <v>197</v>
      </c>
      <c r="S6" s="43" t="s">
        <v>227</v>
      </c>
      <c r="T6" s="43" t="s">
        <v>124</v>
      </c>
      <c r="U6" s="43" t="s">
        <v>189</v>
      </c>
      <c r="V6" s="43" t="s">
        <v>188</v>
      </c>
      <c r="W6" s="43" t="s">
        <v>190</v>
      </c>
      <c r="X6" s="44" t="s">
        <v>114</v>
      </c>
      <c r="Y6" s="44" t="s">
        <v>130</v>
      </c>
      <c r="Z6" s="44" t="s">
        <v>131</v>
      </c>
      <c r="AA6" s="44" t="s">
        <v>132</v>
      </c>
      <c r="AB6" s="44" t="s">
        <v>133</v>
      </c>
      <c r="AC6" s="202" t="s">
        <v>237</v>
      </c>
      <c r="AD6" s="44" t="s">
        <v>238</v>
      </c>
      <c r="AE6" s="44" t="s">
        <v>241</v>
      </c>
      <c r="AF6" s="202" t="s">
        <v>292</v>
      </c>
      <c r="AG6" s="44" t="s">
        <v>236</v>
      </c>
    </row>
    <row r="7" spans="1:33" ht="52.8" x14ac:dyDescent="0.25">
      <c r="A7" s="44"/>
      <c r="B7" s="44" t="s">
        <v>200</v>
      </c>
      <c r="C7" s="44"/>
      <c r="D7" s="44"/>
      <c r="E7" s="44"/>
      <c r="F7" s="44"/>
      <c r="G7" s="44"/>
      <c r="H7" s="106">
        <v>0.1</v>
      </c>
      <c r="I7" s="104"/>
      <c r="J7" s="106">
        <v>0.1</v>
      </c>
      <c r="K7" s="44"/>
      <c r="L7" s="44"/>
      <c r="M7" s="44"/>
      <c r="N7" s="44" t="s">
        <v>111</v>
      </c>
      <c r="O7" s="44"/>
      <c r="P7" s="44"/>
      <c r="Q7" s="44"/>
      <c r="R7" s="44"/>
      <c r="S7" s="44"/>
      <c r="T7" s="45">
        <v>0.1</v>
      </c>
      <c r="U7" s="44"/>
      <c r="V7" s="44"/>
      <c r="W7" s="44"/>
      <c r="X7" s="47"/>
      <c r="Y7" s="51"/>
      <c r="Z7" s="51"/>
      <c r="AA7" s="51"/>
      <c r="AB7" s="51"/>
      <c r="AC7" s="51"/>
      <c r="AD7" s="51"/>
      <c r="AE7" s="103" t="s">
        <v>242</v>
      </c>
      <c r="AF7" s="103"/>
      <c r="AG7" s="103"/>
    </row>
    <row r="8" spans="1:33" ht="13.2" customHeight="1" x14ac:dyDescent="0.25">
      <c r="A8" s="208"/>
      <c r="B8" s="208" t="s">
        <v>108</v>
      </c>
      <c r="C8" s="49"/>
      <c r="D8" s="50">
        <f t="shared" ref="D8:AG8" si="0">SUM(D9:D20)</f>
        <v>0</v>
      </c>
      <c r="E8" s="50"/>
      <c r="F8" s="50"/>
      <c r="G8" s="50">
        <f t="shared" si="0"/>
        <v>0</v>
      </c>
      <c r="H8" s="50">
        <f t="shared" si="0"/>
        <v>0</v>
      </c>
      <c r="I8" s="50"/>
      <c r="J8" s="50"/>
      <c r="K8" s="50">
        <f t="shared" si="0"/>
        <v>0</v>
      </c>
      <c r="L8" s="173"/>
      <c r="M8" s="50">
        <f t="shared" si="0"/>
        <v>0</v>
      </c>
      <c r="N8" s="50">
        <f>SUM(N9:N20)</f>
        <v>0</v>
      </c>
      <c r="O8" s="50">
        <f>SUM(O9:O20)</f>
        <v>0</v>
      </c>
      <c r="P8" s="50">
        <f>SUM(P9:P20)</f>
        <v>0</v>
      </c>
      <c r="Q8" s="50">
        <f>SUM(Q9:Q20)</f>
        <v>0</v>
      </c>
      <c r="R8" s="50">
        <f t="shared" si="0"/>
        <v>0</v>
      </c>
      <c r="S8" s="50">
        <f>SUM(S9:S20)</f>
        <v>0</v>
      </c>
      <c r="T8" s="50">
        <f t="shared" si="0"/>
        <v>0</v>
      </c>
      <c r="U8" s="50">
        <f t="shared" si="0"/>
        <v>0</v>
      </c>
      <c r="V8" s="50">
        <f t="shared" si="0"/>
        <v>0</v>
      </c>
      <c r="W8" s="50">
        <f t="shared" si="0"/>
        <v>0</v>
      </c>
      <c r="X8" s="25"/>
      <c r="Y8" s="50">
        <f t="shared" si="0"/>
        <v>0</v>
      </c>
      <c r="Z8" s="50">
        <f t="shared" si="0"/>
        <v>0</v>
      </c>
      <c r="AA8" s="50">
        <f>SUM(AA9:AA20)</f>
        <v>0</v>
      </c>
      <c r="AB8" s="50">
        <f t="shared" si="0"/>
        <v>0</v>
      </c>
      <c r="AC8" s="50">
        <f t="shared" si="0"/>
        <v>0</v>
      </c>
      <c r="AD8" s="50">
        <f t="shared" si="0"/>
        <v>0</v>
      </c>
      <c r="AE8" s="50">
        <f t="shared" si="0"/>
        <v>10200000</v>
      </c>
      <c r="AF8" s="50">
        <f t="shared" si="0"/>
        <v>0</v>
      </c>
      <c r="AG8" s="50">
        <f t="shared" si="0"/>
        <v>0</v>
      </c>
    </row>
    <row r="9" spans="1:33" x14ac:dyDescent="0.25">
      <c r="A9" s="51">
        <v>1</v>
      </c>
      <c r="B9" s="52" t="s">
        <v>442</v>
      </c>
      <c r="C9" s="52"/>
      <c r="D9" s="187"/>
      <c r="E9" s="187"/>
      <c r="F9" s="187"/>
      <c r="G9" s="186">
        <f t="shared" ref="G9:G46" si="1">IF(E9=1,0,D9-F9)</f>
        <v>0</v>
      </c>
      <c r="H9" s="186">
        <f>G9*H$7</f>
        <v>0</v>
      </c>
      <c r="I9" s="186">
        <f>Описание!E$18</f>
        <v>4250000</v>
      </c>
      <c r="J9" s="186">
        <f>I9*J$7</f>
        <v>425000</v>
      </c>
      <c r="K9" s="186">
        <f>IF(J9&lt;H9,J9,H9)</f>
        <v>0</v>
      </c>
      <c r="L9" s="109">
        <f>X9</f>
        <v>0</v>
      </c>
      <c r="M9" s="184">
        <f>IF(РегистрИПН!N15&lt;=0,(N9+K9),(N9+K9)*L9)</f>
        <v>0</v>
      </c>
      <c r="N9" s="185"/>
      <c r="O9" s="186">
        <f>N9+K9-M9</f>
        <v>0</v>
      </c>
      <c r="P9" s="187"/>
      <c r="Q9" s="187"/>
      <c r="R9" s="188"/>
      <c r="S9" s="189">
        <f>IF((D9-P9-Q9-AG9-K9)&lt;=0,0,(D9-P9-Q9-AG9-K9))</f>
        <v>0</v>
      </c>
      <c r="T9" s="189">
        <f>S9*10%</f>
        <v>0</v>
      </c>
      <c r="U9" s="188"/>
      <c r="V9" s="188"/>
      <c r="W9" s="189">
        <f t="shared" ref="W9:W20" si="2">U9+D9-T9-V9-O9-AG9</f>
        <v>0</v>
      </c>
      <c r="X9" s="55">
        <f t="shared" ref="X9:X20" si="3">IF(D9=0,0,V9/(U9+D9-K9-T9))</f>
        <v>0</v>
      </c>
      <c r="Y9" s="193"/>
      <c r="Z9" s="184">
        <f>T9</f>
        <v>0</v>
      </c>
      <c r="AA9" s="184">
        <f>IF(W9&lt;=0,(Y9+Z9),(Y9+Z9)*X9)</f>
        <v>0</v>
      </c>
      <c r="AB9" s="194">
        <f>Y9+Z9-AA9</f>
        <v>0</v>
      </c>
      <c r="AC9" s="193"/>
      <c r="AD9" s="184">
        <f t="shared" ref="AD9:AD20" si="4">IF(E9=1,0,D9-AC9)</f>
        <v>0</v>
      </c>
      <c r="AE9" s="184">
        <f>10*Описание!E$16</f>
        <v>850000</v>
      </c>
      <c r="AF9" s="203">
        <f>IF(AD9&lt;AE9,AD9,AE9)</f>
        <v>0</v>
      </c>
      <c r="AG9" s="203">
        <f>AF9*2%</f>
        <v>0</v>
      </c>
    </row>
    <row r="10" spans="1:33" x14ac:dyDescent="0.25">
      <c r="A10" s="51">
        <v>2</v>
      </c>
      <c r="B10" s="52"/>
      <c r="C10" s="52"/>
      <c r="D10" s="187"/>
      <c r="E10" s="187"/>
      <c r="F10" s="187"/>
      <c r="G10" s="186">
        <f t="shared" si="1"/>
        <v>0</v>
      </c>
      <c r="H10" s="186">
        <f t="shared" ref="H10:H20" si="5">G10*H$7</f>
        <v>0</v>
      </c>
      <c r="I10" s="186">
        <f>Описание!E$18</f>
        <v>4250000</v>
      </c>
      <c r="J10" s="186">
        <f t="shared" ref="J10:J20" si="6">I10*J$7</f>
        <v>425000</v>
      </c>
      <c r="K10" s="186">
        <f t="shared" ref="K10:K20" si="7">IF(J10&lt;H10,J10,H10)</f>
        <v>0</v>
      </c>
      <c r="L10" s="109">
        <f t="shared" ref="L10:L20" si="8">X10</f>
        <v>0</v>
      </c>
      <c r="M10" s="184">
        <f>IF(РегистрИПН!N16&lt;=0,(N10+K10),(N10+K10)*L10)</f>
        <v>0</v>
      </c>
      <c r="N10" s="190"/>
      <c r="O10" s="186">
        <f t="shared" ref="O10:O20" si="9">N10+K10-M10</f>
        <v>0</v>
      </c>
      <c r="P10" s="187"/>
      <c r="Q10" s="187"/>
      <c r="R10" s="191"/>
      <c r="S10" s="189">
        <f t="shared" ref="S10:S20" si="10">IF((D10-P10-Q10-AG10-K10)&lt;0,0,(D10-P10-Q10-AG10-K10))</f>
        <v>0</v>
      </c>
      <c r="T10" s="189">
        <f t="shared" ref="T10:T20" si="11">S10*10%</f>
        <v>0</v>
      </c>
      <c r="U10" s="188"/>
      <c r="V10" s="188"/>
      <c r="W10" s="189">
        <f t="shared" si="2"/>
        <v>0</v>
      </c>
      <c r="X10" s="55">
        <f t="shared" si="3"/>
        <v>0</v>
      </c>
      <c r="Y10" s="195"/>
      <c r="Z10" s="184">
        <f t="shared" ref="Z10:Z46" si="12">T10</f>
        <v>0</v>
      </c>
      <c r="AA10" s="184">
        <f>IF(W10&lt;=0,(Y10+Z10),(Y10+Z10)*X10)</f>
        <v>0</v>
      </c>
      <c r="AB10" s="194">
        <f t="shared" ref="AB10:AB20" si="13">Y10+Z10-AA10</f>
        <v>0</v>
      </c>
      <c r="AC10" s="195"/>
      <c r="AD10" s="184">
        <f t="shared" si="4"/>
        <v>0</v>
      </c>
      <c r="AE10" s="184">
        <f>10*Описание!E$16</f>
        <v>850000</v>
      </c>
      <c r="AF10" s="203">
        <f t="shared" ref="AF10:AF20" si="14">IF(AD10&lt;AE10,AD10,AE10)</f>
        <v>0</v>
      </c>
      <c r="AG10" s="203">
        <f>AF10*2%</f>
        <v>0</v>
      </c>
    </row>
    <row r="11" spans="1:33" x14ac:dyDescent="0.25">
      <c r="A11" s="51">
        <v>3</v>
      </c>
      <c r="B11" s="52"/>
      <c r="C11" s="52"/>
      <c r="D11" s="187"/>
      <c r="E11" s="187"/>
      <c r="F11" s="187"/>
      <c r="G11" s="186">
        <f t="shared" si="1"/>
        <v>0</v>
      </c>
      <c r="H11" s="186">
        <f t="shared" si="5"/>
        <v>0</v>
      </c>
      <c r="I11" s="186">
        <f>Описание!E$18</f>
        <v>4250000</v>
      </c>
      <c r="J11" s="186">
        <f t="shared" si="6"/>
        <v>425000</v>
      </c>
      <c r="K11" s="186">
        <f t="shared" si="7"/>
        <v>0</v>
      </c>
      <c r="L11" s="109">
        <f t="shared" si="8"/>
        <v>0</v>
      </c>
      <c r="M11" s="184">
        <f>IF(РегистрИПН!N17&lt;=0,(N11+K11),(N11+K11)*L11)</f>
        <v>0</v>
      </c>
      <c r="N11" s="190"/>
      <c r="O11" s="186">
        <f t="shared" si="9"/>
        <v>0</v>
      </c>
      <c r="P11" s="187"/>
      <c r="Q11" s="187"/>
      <c r="R11" s="191"/>
      <c r="S11" s="189">
        <f t="shared" si="10"/>
        <v>0</v>
      </c>
      <c r="T11" s="189">
        <f t="shared" si="11"/>
        <v>0</v>
      </c>
      <c r="U11" s="188"/>
      <c r="V11" s="188"/>
      <c r="W11" s="189">
        <f t="shared" si="2"/>
        <v>0</v>
      </c>
      <c r="X11" s="55">
        <f t="shared" si="3"/>
        <v>0</v>
      </c>
      <c r="Y11" s="195"/>
      <c r="Z11" s="184">
        <f t="shared" si="12"/>
        <v>0</v>
      </c>
      <c r="AA11" s="184">
        <f t="shared" ref="AA11:AA20" si="15">IF(W11&lt;=0,(Y11+Z11),(Y11+Z11)*X11)</f>
        <v>0</v>
      </c>
      <c r="AB11" s="194">
        <f t="shared" si="13"/>
        <v>0</v>
      </c>
      <c r="AC11" s="195"/>
      <c r="AD11" s="184">
        <f t="shared" si="4"/>
        <v>0</v>
      </c>
      <c r="AE11" s="184">
        <f>10*Описание!E$16</f>
        <v>850000</v>
      </c>
      <c r="AF11" s="203">
        <f t="shared" si="14"/>
        <v>0</v>
      </c>
      <c r="AG11" s="203">
        <f t="shared" ref="AG11:AG19" si="16">AF11*2%</f>
        <v>0</v>
      </c>
    </row>
    <row r="12" spans="1:33" x14ac:dyDescent="0.25">
      <c r="A12" s="51">
        <v>4</v>
      </c>
      <c r="B12" s="52"/>
      <c r="C12" s="52"/>
      <c r="D12" s="187"/>
      <c r="E12" s="187"/>
      <c r="F12" s="187"/>
      <c r="G12" s="186">
        <f t="shared" si="1"/>
        <v>0</v>
      </c>
      <c r="H12" s="186">
        <f t="shared" si="5"/>
        <v>0</v>
      </c>
      <c r="I12" s="186">
        <f>Описание!E$18</f>
        <v>4250000</v>
      </c>
      <c r="J12" s="186">
        <f t="shared" si="6"/>
        <v>425000</v>
      </c>
      <c r="K12" s="186">
        <f t="shared" si="7"/>
        <v>0</v>
      </c>
      <c r="L12" s="109">
        <f t="shared" si="8"/>
        <v>0</v>
      </c>
      <c r="M12" s="184">
        <f>IF(РегистрИПН!N18&lt;=0,(N12+K12),(N12+K12)*L12)</f>
        <v>0</v>
      </c>
      <c r="N12" s="185"/>
      <c r="O12" s="186">
        <f t="shared" si="9"/>
        <v>0</v>
      </c>
      <c r="P12" s="187"/>
      <c r="Q12" s="187"/>
      <c r="R12" s="188"/>
      <c r="S12" s="189">
        <f t="shared" si="10"/>
        <v>0</v>
      </c>
      <c r="T12" s="189">
        <f t="shared" si="11"/>
        <v>0</v>
      </c>
      <c r="U12" s="188"/>
      <c r="V12" s="188"/>
      <c r="W12" s="189">
        <f t="shared" si="2"/>
        <v>0</v>
      </c>
      <c r="X12" s="55">
        <f t="shared" si="3"/>
        <v>0</v>
      </c>
      <c r="Y12" s="195"/>
      <c r="Z12" s="184">
        <f t="shared" si="12"/>
        <v>0</v>
      </c>
      <c r="AA12" s="184">
        <f t="shared" si="15"/>
        <v>0</v>
      </c>
      <c r="AB12" s="194">
        <f t="shared" si="13"/>
        <v>0</v>
      </c>
      <c r="AC12" s="195"/>
      <c r="AD12" s="184">
        <f t="shared" si="4"/>
        <v>0</v>
      </c>
      <c r="AE12" s="184">
        <f>10*Описание!E$16</f>
        <v>850000</v>
      </c>
      <c r="AF12" s="203">
        <f t="shared" si="14"/>
        <v>0</v>
      </c>
      <c r="AG12" s="203">
        <f t="shared" si="16"/>
        <v>0</v>
      </c>
    </row>
    <row r="13" spans="1:33" x14ac:dyDescent="0.25">
      <c r="A13" s="51">
        <v>5</v>
      </c>
      <c r="B13" s="52"/>
      <c r="C13" s="52"/>
      <c r="D13" s="187"/>
      <c r="E13" s="187"/>
      <c r="F13" s="187"/>
      <c r="G13" s="186">
        <f t="shared" si="1"/>
        <v>0</v>
      </c>
      <c r="H13" s="186">
        <f t="shared" si="5"/>
        <v>0</v>
      </c>
      <c r="I13" s="186">
        <f>Описание!E$18</f>
        <v>4250000</v>
      </c>
      <c r="J13" s="186">
        <f t="shared" si="6"/>
        <v>425000</v>
      </c>
      <c r="K13" s="186">
        <f t="shared" si="7"/>
        <v>0</v>
      </c>
      <c r="L13" s="109">
        <f t="shared" si="8"/>
        <v>0</v>
      </c>
      <c r="M13" s="184">
        <f>IF(РегистрИПН!N19&lt;=0,(N13+K13),(N13+K13)*L13)</f>
        <v>0</v>
      </c>
      <c r="N13" s="185"/>
      <c r="O13" s="186">
        <f t="shared" si="9"/>
        <v>0</v>
      </c>
      <c r="P13" s="187"/>
      <c r="Q13" s="187"/>
      <c r="R13" s="188"/>
      <c r="S13" s="189">
        <f t="shared" si="10"/>
        <v>0</v>
      </c>
      <c r="T13" s="189">
        <f t="shared" si="11"/>
        <v>0</v>
      </c>
      <c r="U13" s="188"/>
      <c r="V13" s="188"/>
      <c r="W13" s="189">
        <f t="shared" si="2"/>
        <v>0</v>
      </c>
      <c r="X13" s="55">
        <f t="shared" si="3"/>
        <v>0</v>
      </c>
      <c r="Y13" s="195"/>
      <c r="Z13" s="184">
        <f t="shared" si="12"/>
        <v>0</v>
      </c>
      <c r="AA13" s="184">
        <f t="shared" si="15"/>
        <v>0</v>
      </c>
      <c r="AB13" s="194">
        <f t="shared" si="13"/>
        <v>0</v>
      </c>
      <c r="AC13" s="195"/>
      <c r="AD13" s="184">
        <f t="shared" si="4"/>
        <v>0</v>
      </c>
      <c r="AE13" s="184">
        <f>10*Описание!E$16</f>
        <v>850000</v>
      </c>
      <c r="AF13" s="203">
        <f t="shared" si="14"/>
        <v>0</v>
      </c>
      <c r="AG13" s="203">
        <f t="shared" si="16"/>
        <v>0</v>
      </c>
    </row>
    <row r="14" spans="1:33" x14ac:dyDescent="0.25">
      <c r="A14" s="51">
        <v>6</v>
      </c>
      <c r="B14" s="52"/>
      <c r="C14" s="52"/>
      <c r="D14" s="187"/>
      <c r="E14" s="187"/>
      <c r="F14" s="187"/>
      <c r="G14" s="186">
        <f t="shared" si="1"/>
        <v>0</v>
      </c>
      <c r="H14" s="186">
        <f t="shared" si="5"/>
        <v>0</v>
      </c>
      <c r="I14" s="186">
        <f>Описание!E$18</f>
        <v>4250000</v>
      </c>
      <c r="J14" s="186">
        <f t="shared" si="6"/>
        <v>425000</v>
      </c>
      <c r="K14" s="186">
        <f t="shared" si="7"/>
        <v>0</v>
      </c>
      <c r="L14" s="109">
        <f t="shared" si="8"/>
        <v>0</v>
      </c>
      <c r="M14" s="184">
        <f>IF(РегистрИПН!N20&lt;=0,(N14+K14),(N14+K14)*L14)</f>
        <v>0</v>
      </c>
      <c r="N14" s="185"/>
      <c r="O14" s="186">
        <f t="shared" si="9"/>
        <v>0</v>
      </c>
      <c r="P14" s="187"/>
      <c r="Q14" s="187"/>
      <c r="R14" s="188"/>
      <c r="S14" s="189">
        <f t="shared" si="10"/>
        <v>0</v>
      </c>
      <c r="T14" s="189">
        <f t="shared" si="11"/>
        <v>0</v>
      </c>
      <c r="U14" s="188"/>
      <c r="V14" s="188"/>
      <c r="W14" s="189">
        <f t="shared" si="2"/>
        <v>0</v>
      </c>
      <c r="X14" s="55">
        <f t="shared" si="3"/>
        <v>0</v>
      </c>
      <c r="Y14" s="195"/>
      <c r="Z14" s="184">
        <f t="shared" si="12"/>
        <v>0</v>
      </c>
      <c r="AA14" s="184">
        <f t="shared" si="15"/>
        <v>0</v>
      </c>
      <c r="AB14" s="194">
        <f t="shared" si="13"/>
        <v>0</v>
      </c>
      <c r="AC14" s="195"/>
      <c r="AD14" s="184">
        <f t="shared" si="4"/>
        <v>0</v>
      </c>
      <c r="AE14" s="184">
        <f>10*Описание!E$16</f>
        <v>850000</v>
      </c>
      <c r="AF14" s="203">
        <f t="shared" si="14"/>
        <v>0</v>
      </c>
      <c r="AG14" s="203">
        <f t="shared" si="16"/>
        <v>0</v>
      </c>
    </row>
    <row r="15" spans="1:33" x14ac:dyDescent="0.25">
      <c r="A15" s="51">
        <v>7</v>
      </c>
      <c r="B15" s="52"/>
      <c r="C15" s="52"/>
      <c r="D15" s="187"/>
      <c r="E15" s="187"/>
      <c r="F15" s="187"/>
      <c r="G15" s="186">
        <f t="shared" si="1"/>
        <v>0</v>
      </c>
      <c r="H15" s="186">
        <f t="shared" si="5"/>
        <v>0</v>
      </c>
      <c r="I15" s="186">
        <f>Описание!E$18</f>
        <v>4250000</v>
      </c>
      <c r="J15" s="186">
        <f t="shared" si="6"/>
        <v>425000</v>
      </c>
      <c r="K15" s="186">
        <f t="shared" si="7"/>
        <v>0</v>
      </c>
      <c r="L15" s="109">
        <f t="shared" si="8"/>
        <v>0</v>
      </c>
      <c r="M15" s="184">
        <f>IF(РегистрИПН!N21&lt;=0,(N15+K15),(N15+K15)*L15)</f>
        <v>0</v>
      </c>
      <c r="N15" s="185"/>
      <c r="O15" s="186">
        <f t="shared" si="9"/>
        <v>0</v>
      </c>
      <c r="P15" s="187"/>
      <c r="Q15" s="187"/>
      <c r="R15" s="188"/>
      <c r="S15" s="189">
        <f t="shared" si="10"/>
        <v>0</v>
      </c>
      <c r="T15" s="189">
        <f t="shared" si="11"/>
        <v>0</v>
      </c>
      <c r="U15" s="188"/>
      <c r="V15" s="188"/>
      <c r="W15" s="189">
        <f t="shared" si="2"/>
        <v>0</v>
      </c>
      <c r="X15" s="55">
        <f t="shared" si="3"/>
        <v>0</v>
      </c>
      <c r="Y15" s="195"/>
      <c r="Z15" s="184">
        <f t="shared" si="12"/>
        <v>0</v>
      </c>
      <c r="AA15" s="184">
        <f t="shared" si="15"/>
        <v>0</v>
      </c>
      <c r="AB15" s="194">
        <f t="shared" si="13"/>
        <v>0</v>
      </c>
      <c r="AC15" s="195"/>
      <c r="AD15" s="184">
        <f t="shared" si="4"/>
        <v>0</v>
      </c>
      <c r="AE15" s="184">
        <f>10*Описание!E$16</f>
        <v>850000</v>
      </c>
      <c r="AF15" s="203">
        <f t="shared" si="14"/>
        <v>0</v>
      </c>
      <c r="AG15" s="203">
        <f t="shared" si="16"/>
        <v>0</v>
      </c>
    </row>
    <row r="16" spans="1:33" x14ac:dyDescent="0.25">
      <c r="A16" s="51">
        <v>8</v>
      </c>
      <c r="B16" s="52"/>
      <c r="C16" s="52"/>
      <c r="D16" s="187"/>
      <c r="E16" s="187"/>
      <c r="F16" s="187"/>
      <c r="G16" s="186">
        <f t="shared" si="1"/>
        <v>0</v>
      </c>
      <c r="H16" s="186">
        <f t="shared" si="5"/>
        <v>0</v>
      </c>
      <c r="I16" s="186">
        <f>Описание!E$18</f>
        <v>4250000</v>
      </c>
      <c r="J16" s="186">
        <f t="shared" si="6"/>
        <v>425000</v>
      </c>
      <c r="K16" s="186">
        <f t="shared" si="7"/>
        <v>0</v>
      </c>
      <c r="L16" s="109">
        <f t="shared" si="8"/>
        <v>0</v>
      </c>
      <c r="M16" s="184">
        <f>IF(РегистрИПН!N22&lt;=0,(N16+K16),(N16+K16)*L16)</f>
        <v>0</v>
      </c>
      <c r="N16" s="185"/>
      <c r="O16" s="186">
        <f t="shared" si="9"/>
        <v>0</v>
      </c>
      <c r="P16" s="187"/>
      <c r="Q16" s="187"/>
      <c r="R16" s="188"/>
      <c r="S16" s="189">
        <f t="shared" si="10"/>
        <v>0</v>
      </c>
      <c r="T16" s="189">
        <f t="shared" si="11"/>
        <v>0</v>
      </c>
      <c r="U16" s="188"/>
      <c r="V16" s="188"/>
      <c r="W16" s="189">
        <f t="shared" si="2"/>
        <v>0</v>
      </c>
      <c r="X16" s="55">
        <f t="shared" si="3"/>
        <v>0</v>
      </c>
      <c r="Y16" s="195"/>
      <c r="Z16" s="184">
        <f t="shared" si="12"/>
        <v>0</v>
      </c>
      <c r="AA16" s="184">
        <f t="shared" si="15"/>
        <v>0</v>
      </c>
      <c r="AB16" s="194">
        <f t="shared" si="13"/>
        <v>0</v>
      </c>
      <c r="AC16" s="195"/>
      <c r="AD16" s="184">
        <f t="shared" si="4"/>
        <v>0</v>
      </c>
      <c r="AE16" s="184">
        <f>10*Описание!E$16</f>
        <v>850000</v>
      </c>
      <c r="AF16" s="203">
        <f t="shared" si="14"/>
        <v>0</v>
      </c>
      <c r="AG16" s="203">
        <f t="shared" si="16"/>
        <v>0</v>
      </c>
    </row>
    <row r="17" spans="1:33" x14ac:dyDescent="0.25">
      <c r="A17" s="51">
        <v>9</v>
      </c>
      <c r="B17" s="52"/>
      <c r="C17" s="52"/>
      <c r="D17" s="187"/>
      <c r="E17" s="187"/>
      <c r="F17" s="187"/>
      <c r="G17" s="186">
        <f t="shared" si="1"/>
        <v>0</v>
      </c>
      <c r="H17" s="186">
        <f t="shared" si="5"/>
        <v>0</v>
      </c>
      <c r="I17" s="186">
        <f>Описание!E$18</f>
        <v>4250000</v>
      </c>
      <c r="J17" s="186">
        <f t="shared" si="6"/>
        <v>425000</v>
      </c>
      <c r="K17" s="186">
        <f t="shared" si="7"/>
        <v>0</v>
      </c>
      <c r="L17" s="109">
        <f t="shared" si="8"/>
        <v>0</v>
      </c>
      <c r="M17" s="184">
        <f>IF(РегистрИПН!N23&lt;=0,(N17+K17),(N17+K17)*L17)</f>
        <v>0</v>
      </c>
      <c r="N17" s="185"/>
      <c r="O17" s="186">
        <f t="shared" si="9"/>
        <v>0</v>
      </c>
      <c r="P17" s="187"/>
      <c r="Q17" s="187"/>
      <c r="R17" s="188"/>
      <c r="S17" s="189">
        <f t="shared" si="10"/>
        <v>0</v>
      </c>
      <c r="T17" s="189">
        <f t="shared" si="11"/>
        <v>0</v>
      </c>
      <c r="U17" s="188"/>
      <c r="V17" s="188"/>
      <c r="W17" s="189">
        <f t="shared" si="2"/>
        <v>0</v>
      </c>
      <c r="X17" s="55">
        <f t="shared" si="3"/>
        <v>0</v>
      </c>
      <c r="Y17" s="195"/>
      <c r="Z17" s="184">
        <f t="shared" si="12"/>
        <v>0</v>
      </c>
      <c r="AA17" s="184">
        <f t="shared" si="15"/>
        <v>0</v>
      </c>
      <c r="AB17" s="194">
        <f t="shared" si="13"/>
        <v>0</v>
      </c>
      <c r="AC17" s="195"/>
      <c r="AD17" s="184">
        <f t="shared" si="4"/>
        <v>0</v>
      </c>
      <c r="AE17" s="184">
        <f>10*Описание!E$16</f>
        <v>850000</v>
      </c>
      <c r="AF17" s="203">
        <f t="shared" si="14"/>
        <v>0</v>
      </c>
      <c r="AG17" s="203">
        <f t="shared" si="16"/>
        <v>0</v>
      </c>
    </row>
    <row r="18" spans="1:33" x14ac:dyDescent="0.25">
      <c r="A18" s="51">
        <v>10</v>
      </c>
      <c r="B18" s="52"/>
      <c r="C18" s="52"/>
      <c r="D18" s="187"/>
      <c r="E18" s="187"/>
      <c r="F18" s="187"/>
      <c r="G18" s="186">
        <f t="shared" si="1"/>
        <v>0</v>
      </c>
      <c r="H18" s="186">
        <f t="shared" si="5"/>
        <v>0</v>
      </c>
      <c r="I18" s="186">
        <f>Описание!E$18</f>
        <v>4250000</v>
      </c>
      <c r="J18" s="186">
        <f t="shared" si="6"/>
        <v>425000</v>
      </c>
      <c r="K18" s="186">
        <f t="shared" si="7"/>
        <v>0</v>
      </c>
      <c r="L18" s="109">
        <f t="shared" si="8"/>
        <v>0</v>
      </c>
      <c r="M18" s="184">
        <f>IF(РегистрИПН!N24&lt;=0,(N18+K18),(N18+K18)*L18)</f>
        <v>0</v>
      </c>
      <c r="N18" s="185"/>
      <c r="O18" s="186">
        <f t="shared" si="9"/>
        <v>0</v>
      </c>
      <c r="P18" s="187"/>
      <c r="Q18" s="187"/>
      <c r="R18" s="188"/>
      <c r="S18" s="189">
        <f t="shared" si="10"/>
        <v>0</v>
      </c>
      <c r="T18" s="189">
        <f t="shared" si="11"/>
        <v>0</v>
      </c>
      <c r="U18" s="188"/>
      <c r="V18" s="188"/>
      <c r="W18" s="189">
        <f t="shared" si="2"/>
        <v>0</v>
      </c>
      <c r="X18" s="55">
        <f t="shared" si="3"/>
        <v>0</v>
      </c>
      <c r="Y18" s="193"/>
      <c r="Z18" s="184">
        <f t="shared" si="12"/>
        <v>0</v>
      </c>
      <c r="AA18" s="184">
        <f t="shared" si="15"/>
        <v>0</v>
      </c>
      <c r="AB18" s="194">
        <f t="shared" si="13"/>
        <v>0</v>
      </c>
      <c r="AC18" s="193"/>
      <c r="AD18" s="184">
        <f t="shared" si="4"/>
        <v>0</v>
      </c>
      <c r="AE18" s="184">
        <f>10*Описание!E$16</f>
        <v>850000</v>
      </c>
      <c r="AF18" s="203">
        <f t="shared" si="14"/>
        <v>0</v>
      </c>
      <c r="AG18" s="203">
        <f t="shared" si="16"/>
        <v>0</v>
      </c>
    </row>
    <row r="19" spans="1:33" x14ac:dyDescent="0.25">
      <c r="A19" s="51">
        <v>11</v>
      </c>
      <c r="B19" s="52"/>
      <c r="C19" s="52"/>
      <c r="D19" s="187"/>
      <c r="E19" s="187"/>
      <c r="F19" s="187"/>
      <c r="G19" s="186">
        <f t="shared" si="1"/>
        <v>0</v>
      </c>
      <c r="H19" s="186">
        <f t="shared" si="5"/>
        <v>0</v>
      </c>
      <c r="I19" s="186">
        <f>Описание!E$18</f>
        <v>4250000</v>
      </c>
      <c r="J19" s="186">
        <f t="shared" si="6"/>
        <v>425000</v>
      </c>
      <c r="K19" s="186">
        <f t="shared" si="7"/>
        <v>0</v>
      </c>
      <c r="L19" s="109">
        <f t="shared" si="8"/>
        <v>0</v>
      </c>
      <c r="M19" s="184">
        <f>IF(РегистрИПН!N25&lt;=0,(N19+K19),(N19+K19)*L19)</f>
        <v>0</v>
      </c>
      <c r="N19" s="185"/>
      <c r="O19" s="186">
        <f t="shared" si="9"/>
        <v>0</v>
      </c>
      <c r="P19" s="187"/>
      <c r="Q19" s="187"/>
      <c r="R19" s="188"/>
      <c r="S19" s="189">
        <f t="shared" si="10"/>
        <v>0</v>
      </c>
      <c r="T19" s="189">
        <f t="shared" si="11"/>
        <v>0</v>
      </c>
      <c r="U19" s="188"/>
      <c r="V19" s="188"/>
      <c r="W19" s="189">
        <f t="shared" si="2"/>
        <v>0</v>
      </c>
      <c r="X19" s="55">
        <f t="shared" si="3"/>
        <v>0</v>
      </c>
      <c r="Y19" s="195"/>
      <c r="Z19" s="184">
        <f t="shared" si="12"/>
        <v>0</v>
      </c>
      <c r="AA19" s="184">
        <f t="shared" si="15"/>
        <v>0</v>
      </c>
      <c r="AB19" s="194">
        <f t="shared" si="13"/>
        <v>0</v>
      </c>
      <c r="AC19" s="195"/>
      <c r="AD19" s="184">
        <f t="shared" si="4"/>
        <v>0</v>
      </c>
      <c r="AE19" s="184">
        <f>10*Описание!E$16</f>
        <v>850000</v>
      </c>
      <c r="AF19" s="203">
        <f t="shared" si="14"/>
        <v>0</v>
      </c>
      <c r="AG19" s="203">
        <f t="shared" si="16"/>
        <v>0</v>
      </c>
    </row>
    <row r="20" spans="1:33" x14ac:dyDescent="0.25">
      <c r="A20" s="51">
        <v>12</v>
      </c>
      <c r="B20" s="52"/>
      <c r="C20" s="52"/>
      <c r="D20" s="187"/>
      <c r="E20" s="187"/>
      <c r="F20" s="187"/>
      <c r="G20" s="186">
        <f t="shared" si="1"/>
        <v>0</v>
      </c>
      <c r="H20" s="186">
        <f t="shared" si="5"/>
        <v>0</v>
      </c>
      <c r="I20" s="186">
        <f>Описание!E$18</f>
        <v>4250000</v>
      </c>
      <c r="J20" s="186">
        <f t="shared" si="6"/>
        <v>425000</v>
      </c>
      <c r="K20" s="186">
        <f t="shared" si="7"/>
        <v>0</v>
      </c>
      <c r="L20" s="109">
        <f t="shared" si="8"/>
        <v>0</v>
      </c>
      <c r="M20" s="184">
        <f>IF(РегистрИПН!N26&lt;=0,(N20+K20),(N20+K20)*L20)</f>
        <v>0</v>
      </c>
      <c r="N20" s="185"/>
      <c r="O20" s="186">
        <f t="shared" si="9"/>
        <v>0</v>
      </c>
      <c r="P20" s="187"/>
      <c r="Q20" s="187"/>
      <c r="R20" s="188"/>
      <c r="S20" s="189">
        <f t="shared" si="10"/>
        <v>0</v>
      </c>
      <c r="T20" s="189">
        <f t="shared" si="11"/>
        <v>0</v>
      </c>
      <c r="U20" s="188"/>
      <c r="V20" s="188"/>
      <c r="W20" s="189">
        <f t="shared" si="2"/>
        <v>0</v>
      </c>
      <c r="X20" s="55">
        <f t="shared" si="3"/>
        <v>0</v>
      </c>
      <c r="Y20" s="193"/>
      <c r="Z20" s="184">
        <f t="shared" si="12"/>
        <v>0</v>
      </c>
      <c r="AA20" s="184">
        <f t="shared" si="15"/>
        <v>0</v>
      </c>
      <c r="AB20" s="194">
        <f t="shared" si="13"/>
        <v>0</v>
      </c>
      <c r="AC20" s="193"/>
      <c r="AD20" s="184">
        <f t="shared" si="4"/>
        <v>0</v>
      </c>
      <c r="AE20" s="184">
        <f>10*Описание!E$16</f>
        <v>850000</v>
      </c>
      <c r="AF20" s="203">
        <f t="shared" si="14"/>
        <v>0</v>
      </c>
      <c r="AG20" s="203">
        <f>AF20*2%</f>
        <v>0</v>
      </c>
    </row>
    <row r="21" spans="1:33" ht="13.2" customHeight="1" x14ac:dyDescent="0.25">
      <c r="B21" s="207" t="s">
        <v>148</v>
      </c>
      <c r="C21" s="49"/>
      <c r="D21" s="50">
        <f t="shared" ref="D21:AG21" si="17">SUM(D22:D33)</f>
        <v>250000</v>
      </c>
      <c r="E21" s="50">
        <f t="shared" si="17"/>
        <v>1</v>
      </c>
      <c r="F21" s="50">
        <f t="shared" si="17"/>
        <v>0</v>
      </c>
      <c r="G21" s="50">
        <f t="shared" si="17"/>
        <v>0</v>
      </c>
      <c r="H21" s="50">
        <f t="shared" si="17"/>
        <v>0</v>
      </c>
      <c r="I21" s="50"/>
      <c r="J21" s="50"/>
      <c r="K21" s="50">
        <f t="shared" si="17"/>
        <v>0</v>
      </c>
      <c r="L21" s="50"/>
      <c r="M21" s="50">
        <f t="shared" si="17"/>
        <v>0</v>
      </c>
      <c r="N21" s="50">
        <f>SUM(N22:N33)</f>
        <v>0</v>
      </c>
      <c r="O21" s="50">
        <f>SUM(O22:O33)</f>
        <v>0</v>
      </c>
      <c r="P21" s="50">
        <f>SUM(P22:P33)</f>
        <v>0</v>
      </c>
      <c r="Q21" s="50">
        <f>SUM(Q22:Q33)</f>
        <v>0</v>
      </c>
      <c r="R21" s="50">
        <f t="shared" si="17"/>
        <v>0</v>
      </c>
      <c r="S21" s="50">
        <f>SUM(S22:S33)</f>
        <v>250000</v>
      </c>
      <c r="T21" s="50">
        <f t="shared" si="17"/>
        <v>25000</v>
      </c>
      <c r="U21" s="50">
        <f t="shared" si="17"/>
        <v>0</v>
      </c>
      <c r="V21" s="50">
        <f t="shared" si="17"/>
        <v>225000</v>
      </c>
      <c r="W21" s="50">
        <f t="shared" si="17"/>
        <v>0</v>
      </c>
      <c r="X21" s="50">
        <f t="shared" si="17"/>
        <v>1</v>
      </c>
      <c r="Y21" s="50">
        <f t="shared" si="17"/>
        <v>0</v>
      </c>
      <c r="Z21" s="50">
        <f t="shared" si="17"/>
        <v>25000</v>
      </c>
      <c r="AA21" s="50">
        <f>SUM(AA22:AA33)</f>
        <v>25000</v>
      </c>
      <c r="AB21" s="50">
        <f t="shared" si="17"/>
        <v>0</v>
      </c>
      <c r="AC21" s="50">
        <f t="shared" si="17"/>
        <v>0</v>
      </c>
      <c r="AD21" s="50">
        <f t="shared" si="17"/>
        <v>0</v>
      </c>
      <c r="AE21" s="50">
        <f t="shared" si="17"/>
        <v>10200000</v>
      </c>
      <c r="AF21" s="50">
        <f t="shared" si="17"/>
        <v>0</v>
      </c>
      <c r="AG21" s="50">
        <f t="shared" si="17"/>
        <v>0</v>
      </c>
    </row>
    <row r="22" spans="1:33" x14ac:dyDescent="0.25">
      <c r="A22" s="51">
        <v>1</v>
      </c>
      <c r="B22" s="52" t="s">
        <v>442</v>
      </c>
      <c r="C22" s="52"/>
      <c r="D22" s="187">
        <v>250000</v>
      </c>
      <c r="E22" s="187">
        <v>1</v>
      </c>
      <c r="F22" s="187"/>
      <c r="G22" s="186">
        <f t="shared" si="1"/>
        <v>0</v>
      </c>
      <c r="H22" s="186">
        <f t="shared" ref="H22:H33" si="18">G22*H$7</f>
        <v>0</v>
      </c>
      <c r="I22" s="186">
        <f>Описание!E$18</f>
        <v>4250000</v>
      </c>
      <c r="J22" s="186">
        <f t="shared" ref="J22:J33" si="19">I22*J$7</f>
        <v>425000</v>
      </c>
      <c r="K22" s="186">
        <f t="shared" ref="K22:K33" si="20">IF(J22&lt;H22,J22,H22)</f>
        <v>0</v>
      </c>
      <c r="L22" s="109">
        <f t="shared" ref="L22:L33" si="21">X22</f>
        <v>1</v>
      </c>
      <c r="M22" s="186">
        <f t="shared" ref="M22:M46" si="22">(C22+K22)*L22</f>
        <v>0</v>
      </c>
      <c r="N22" s="185"/>
      <c r="O22" s="186">
        <f>N22+K22-M22</f>
        <v>0</v>
      </c>
      <c r="P22" s="187"/>
      <c r="Q22" s="187"/>
      <c r="R22" s="188"/>
      <c r="S22" s="189">
        <f t="shared" ref="S22:S33" si="23">IF((D22-P22-Q22-AG22-K22)&lt;0,0,(D22-P22-Q22-AG22-K22))</f>
        <v>250000</v>
      </c>
      <c r="T22" s="189">
        <f>S22*10%</f>
        <v>25000</v>
      </c>
      <c r="U22" s="188"/>
      <c r="V22" s="188">
        <v>225000</v>
      </c>
      <c r="W22" s="189">
        <f t="shared" ref="W22:W33" si="24">U22+D22-T22-V22-O22-AG22</f>
        <v>0</v>
      </c>
      <c r="X22" s="55">
        <f t="shared" ref="X22:X33" si="25">IF(D22=0,0,V22/(U22+D22-K22-T22))</f>
        <v>1</v>
      </c>
      <c r="Y22" s="196"/>
      <c r="Z22" s="184">
        <f t="shared" si="12"/>
        <v>25000</v>
      </c>
      <c r="AA22" s="184">
        <f t="shared" ref="AA22:AA33" si="26">IF(W22&lt;=0,(Y22+Z22),(Y22+Z22)*X22)</f>
        <v>25000</v>
      </c>
      <c r="AB22" s="194">
        <f>Y22+Z22-AA22</f>
        <v>0</v>
      </c>
      <c r="AC22" s="196"/>
      <c r="AD22" s="184">
        <f>IF(E22=1,0,D22-AC22)</f>
        <v>0</v>
      </c>
      <c r="AE22" s="184">
        <f>10*Описание!E$16</f>
        <v>850000</v>
      </c>
      <c r="AF22" s="203">
        <f>IF(AD22&lt;AE22,AD22,AE22)</f>
        <v>0</v>
      </c>
      <c r="AG22" s="203">
        <f>AF22*2%</f>
        <v>0</v>
      </c>
    </row>
    <row r="23" spans="1:33" x14ac:dyDescent="0.25">
      <c r="A23" s="51">
        <v>2</v>
      </c>
      <c r="B23" s="52"/>
      <c r="C23" s="52"/>
      <c r="D23" s="187"/>
      <c r="E23" s="187"/>
      <c r="F23" s="187"/>
      <c r="G23" s="186">
        <f t="shared" si="1"/>
        <v>0</v>
      </c>
      <c r="H23" s="186">
        <f t="shared" si="18"/>
        <v>0</v>
      </c>
      <c r="I23" s="186">
        <f>Описание!E$18</f>
        <v>4250000</v>
      </c>
      <c r="J23" s="186">
        <f t="shared" si="19"/>
        <v>425000</v>
      </c>
      <c r="K23" s="186">
        <f t="shared" si="20"/>
        <v>0</v>
      </c>
      <c r="L23" s="109">
        <f t="shared" si="21"/>
        <v>0</v>
      </c>
      <c r="M23" s="186">
        <f t="shared" si="22"/>
        <v>0</v>
      </c>
      <c r="N23" s="185"/>
      <c r="O23" s="186">
        <f t="shared" ref="O23:O33" si="27">N23+K23-M23</f>
        <v>0</v>
      </c>
      <c r="P23" s="187"/>
      <c r="Q23" s="187"/>
      <c r="R23" s="191"/>
      <c r="S23" s="189">
        <f t="shared" si="23"/>
        <v>0</v>
      </c>
      <c r="T23" s="189">
        <f t="shared" ref="T23:T33" si="28">S23*10%</f>
        <v>0</v>
      </c>
      <c r="U23" s="188"/>
      <c r="V23" s="188"/>
      <c r="W23" s="189">
        <f t="shared" si="24"/>
        <v>0</v>
      </c>
      <c r="X23" s="55">
        <f t="shared" si="25"/>
        <v>0</v>
      </c>
      <c r="Y23" s="196"/>
      <c r="Z23" s="184">
        <f t="shared" si="12"/>
        <v>0</v>
      </c>
      <c r="AA23" s="184">
        <f t="shared" si="26"/>
        <v>0</v>
      </c>
      <c r="AB23" s="194">
        <f t="shared" ref="AB23:AB33" si="29">Y23+Z23-AA23</f>
        <v>0</v>
      </c>
      <c r="AC23" s="196"/>
      <c r="AD23" s="184">
        <f t="shared" ref="AD23:AD33" si="30">IF(E23=1,0,D23-AC23)</f>
        <v>0</v>
      </c>
      <c r="AE23" s="184">
        <f>10*Описание!E$16</f>
        <v>850000</v>
      </c>
      <c r="AF23" s="203">
        <f t="shared" ref="AF23:AF33" si="31">IF(AD23&lt;AE23,AD23,AE23)</f>
        <v>0</v>
      </c>
      <c r="AG23" s="203">
        <f t="shared" ref="AG23:AG32" si="32">AF23*2%</f>
        <v>0</v>
      </c>
    </row>
    <row r="24" spans="1:33" x14ac:dyDescent="0.25">
      <c r="A24" s="51">
        <v>3</v>
      </c>
      <c r="B24" s="52"/>
      <c r="C24" s="52"/>
      <c r="D24" s="187"/>
      <c r="E24" s="187"/>
      <c r="F24" s="187"/>
      <c r="G24" s="186">
        <f t="shared" si="1"/>
        <v>0</v>
      </c>
      <c r="H24" s="186">
        <f t="shared" si="18"/>
        <v>0</v>
      </c>
      <c r="I24" s="186">
        <f>Описание!E$18</f>
        <v>4250000</v>
      </c>
      <c r="J24" s="186">
        <f t="shared" si="19"/>
        <v>425000</v>
      </c>
      <c r="K24" s="186">
        <f t="shared" si="20"/>
        <v>0</v>
      </c>
      <c r="L24" s="109">
        <f t="shared" si="21"/>
        <v>0</v>
      </c>
      <c r="M24" s="186">
        <f t="shared" si="22"/>
        <v>0</v>
      </c>
      <c r="N24" s="185"/>
      <c r="O24" s="186">
        <f t="shared" si="27"/>
        <v>0</v>
      </c>
      <c r="P24" s="187"/>
      <c r="Q24" s="187"/>
      <c r="R24" s="191"/>
      <c r="S24" s="189">
        <f t="shared" si="23"/>
        <v>0</v>
      </c>
      <c r="T24" s="189">
        <f t="shared" si="28"/>
        <v>0</v>
      </c>
      <c r="U24" s="188"/>
      <c r="V24" s="188"/>
      <c r="W24" s="189">
        <f t="shared" si="24"/>
        <v>0</v>
      </c>
      <c r="X24" s="55">
        <f t="shared" si="25"/>
        <v>0</v>
      </c>
      <c r="Y24" s="196"/>
      <c r="Z24" s="184">
        <f t="shared" si="12"/>
        <v>0</v>
      </c>
      <c r="AA24" s="184">
        <f t="shared" si="26"/>
        <v>0</v>
      </c>
      <c r="AB24" s="194">
        <f t="shared" si="29"/>
        <v>0</v>
      </c>
      <c r="AC24" s="196"/>
      <c r="AD24" s="184">
        <f t="shared" si="30"/>
        <v>0</v>
      </c>
      <c r="AE24" s="184">
        <f>10*Описание!E$16</f>
        <v>850000</v>
      </c>
      <c r="AF24" s="203">
        <f t="shared" si="31"/>
        <v>0</v>
      </c>
      <c r="AG24" s="203">
        <f t="shared" si="32"/>
        <v>0</v>
      </c>
    </row>
    <row r="25" spans="1:33" x14ac:dyDescent="0.25">
      <c r="A25" s="51">
        <v>4</v>
      </c>
      <c r="B25" s="52"/>
      <c r="C25" s="52"/>
      <c r="D25" s="187"/>
      <c r="E25" s="187"/>
      <c r="F25" s="187"/>
      <c r="G25" s="186">
        <f t="shared" si="1"/>
        <v>0</v>
      </c>
      <c r="H25" s="186">
        <f t="shared" si="18"/>
        <v>0</v>
      </c>
      <c r="I25" s="186">
        <f>Описание!E$18</f>
        <v>4250000</v>
      </c>
      <c r="J25" s="186">
        <f t="shared" si="19"/>
        <v>425000</v>
      </c>
      <c r="K25" s="186">
        <f t="shared" si="20"/>
        <v>0</v>
      </c>
      <c r="L25" s="109">
        <f t="shared" si="21"/>
        <v>0</v>
      </c>
      <c r="M25" s="186">
        <f t="shared" si="22"/>
        <v>0</v>
      </c>
      <c r="N25" s="185"/>
      <c r="O25" s="186">
        <f t="shared" si="27"/>
        <v>0</v>
      </c>
      <c r="P25" s="187"/>
      <c r="Q25" s="187"/>
      <c r="R25" s="188"/>
      <c r="S25" s="189">
        <f t="shared" si="23"/>
        <v>0</v>
      </c>
      <c r="T25" s="189">
        <f t="shared" si="28"/>
        <v>0</v>
      </c>
      <c r="U25" s="188"/>
      <c r="V25" s="188"/>
      <c r="W25" s="189">
        <f t="shared" si="24"/>
        <v>0</v>
      </c>
      <c r="X25" s="55">
        <f t="shared" si="25"/>
        <v>0</v>
      </c>
      <c r="Y25" s="196"/>
      <c r="Z25" s="184">
        <f t="shared" si="12"/>
        <v>0</v>
      </c>
      <c r="AA25" s="184">
        <f t="shared" si="26"/>
        <v>0</v>
      </c>
      <c r="AB25" s="194">
        <f t="shared" si="29"/>
        <v>0</v>
      </c>
      <c r="AC25" s="196"/>
      <c r="AD25" s="184">
        <f t="shared" si="30"/>
        <v>0</v>
      </c>
      <c r="AE25" s="184">
        <f>10*Описание!E$16</f>
        <v>850000</v>
      </c>
      <c r="AF25" s="203">
        <f t="shared" si="31"/>
        <v>0</v>
      </c>
      <c r="AG25" s="203">
        <f t="shared" si="32"/>
        <v>0</v>
      </c>
    </row>
    <row r="26" spans="1:33" x14ac:dyDescent="0.25">
      <c r="A26" s="51">
        <v>5</v>
      </c>
      <c r="B26" s="52"/>
      <c r="C26" s="52"/>
      <c r="D26" s="187"/>
      <c r="E26" s="187"/>
      <c r="F26" s="187"/>
      <c r="G26" s="186">
        <f t="shared" si="1"/>
        <v>0</v>
      </c>
      <c r="H26" s="186">
        <f t="shared" si="18"/>
        <v>0</v>
      </c>
      <c r="I26" s="186">
        <f>Описание!E$18</f>
        <v>4250000</v>
      </c>
      <c r="J26" s="186">
        <f t="shared" si="19"/>
        <v>425000</v>
      </c>
      <c r="K26" s="186">
        <f t="shared" si="20"/>
        <v>0</v>
      </c>
      <c r="L26" s="109">
        <f t="shared" si="21"/>
        <v>0</v>
      </c>
      <c r="M26" s="186">
        <f t="shared" si="22"/>
        <v>0</v>
      </c>
      <c r="N26" s="185"/>
      <c r="O26" s="186">
        <f t="shared" si="27"/>
        <v>0</v>
      </c>
      <c r="P26" s="187"/>
      <c r="Q26" s="187"/>
      <c r="R26" s="188"/>
      <c r="S26" s="189">
        <f t="shared" si="23"/>
        <v>0</v>
      </c>
      <c r="T26" s="189">
        <f t="shared" si="28"/>
        <v>0</v>
      </c>
      <c r="U26" s="188"/>
      <c r="V26" s="188"/>
      <c r="W26" s="189">
        <f t="shared" si="24"/>
        <v>0</v>
      </c>
      <c r="X26" s="55">
        <f t="shared" si="25"/>
        <v>0</v>
      </c>
      <c r="Y26" s="196"/>
      <c r="Z26" s="184">
        <f t="shared" si="12"/>
        <v>0</v>
      </c>
      <c r="AA26" s="184">
        <f t="shared" si="26"/>
        <v>0</v>
      </c>
      <c r="AB26" s="194">
        <f t="shared" si="29"/>
        <v>0</v>
      </c>
      <c r="AC26" s="196"/>
      <c r="AD26" s="184">
        <f t="shared" si="30"/>
        <v>0</v>
      </c>
      <c r="AE26" s="184">
        <f>10*Описание!E$16</f>
        <v>850000</v>
      </c>
      <c r="AF26" s="203">
        <f t="shared" si="31"/>
        <v>0</v>
      </c>
      <c r="AG26" s="203">
        <f t="shared" si="32"/>
        <v>0</v>
      </c>
    </row>
    <row r="27" spans="1:33" x14ac:dyDescent="0.25">
      <c r="A27" s="51">
        <v>6</v>
      </c>
      <c r="B27" s="52"/>
      <c r="C27" s="52"/>
      <c r="D27" s="187"/>
      <c r="E27" s="187"/>
      <c r="F27" s="187"/>
      <c r="G27" s="186">
        <f t="shared" si="1"/>
        <v>0</v>
      </c>
      <c r="H27" s="186">
        <f t="shared" si="18"/>
        <v>0</v>
      </c>
      <c r="I27" s="186">
        <f>Описание!E$18</f>
        <v>4250000</v>
      </c>
      <c r="J27" s="186">
        <f t="shared" si="19"/>
        <v>425000</v>
      </c>
      <c r="K27" s="186">
        <f t="shared" si="20"/>
        <v>0</v>
      </c>
      <c r="L27" s="109">
        <f t="shared" si="21"/>
        <v>0</v>
      </c>
      <c r="M27" s="186">
        <f t="shared" si="22"/>
        <v>0</v>
      </c>
      <c r="N27" s="185"/>
      <c r="O27" s="186">
        <f t="shared" si="27"/>
        <v>0</v>
      </c>
      <c r="P27" s="187"/>
      <c r="Q27" s="187"/>
      <c r="R27" s="188"/>
      <c r="S27" s="189">
        <f t="shared" si="23"/>
        <v>0</v>
      </c>
      <c r="T27" s="189">
        <f t="shared" si="28"/>
        <v>0</v>
      </c>
      <c r="U27" s="188"/>
      <c r="V27" s="188"/>
      <c r="W27" s="189">
        <f t="shared" si="24"/>
        <v>0</v>
      </c>
      <c r="X27" s="55">
        <f t="shared" si="25"/>
        <v>0</v>
      </c>
      <c r="Y27" s="196"/>
      <c r="Z27" s="184">
        <f t="shared" si="12"/>
        <v>0</v>
      </c>
      <c r="AA27" s="184">
        <f t="shared" si="26"/>
        <v>0</v>
      </c>
      <c r="AB27" s="194">
        <f t="shared" si="29"/>
        <v>0</v>
      </c>
      <c r="AC27" s="196"/>
      <c r="AD27" s="184">
        <f t="shared" si="30"/>
        <v>0</v>
      </c>
      <c r="AE27" s="184">
        <f>10*Описание!E$16</f>
        <v>850000</v>
      </c>
      <c r="AF27" s="203">
        <f t="shared" si="31"/>
        <v>0</v>
      </c>
      <c r="AG27" s="203">
        <f t="shared" si="32"/>
        <v>0</v>
      </c>
    </row>
    <row r="28" spans="1:33" x14ac:dyDescent="0.25">
      <c r="A28" s="51">
        <v>7</v>
      </c>
      <c r="B28" s="52"/>
      <c r="C28" s="52"/>
      <c r="D28" s="187"/>
      <c r="E28" s="187"/>
      <c r="F28" s="187"/>
      <c r="G28" s="186">
        <f t="shared" si="1"/>
        <v>0</v>
      </c>
      <c r="H28" s="186">
        <f t="shared" si="18"/>
        <v>0</v>
      </c>
      <c r="I28" s="186">
        <f>Описание!E$18</f>
        <v>4250000</v>
      </c>
      <c r="J28" s="186">
        <f t="shared" si="19"/>
        <v>425000</v>
      </c>
      <c r="K28" s="186">
        <f t="shared" si="20"/>
        <v>0</v>
      </c>
      <c r="L28" s="109">
        <f t="shared" si="21"/>
        <v>0</v>
      </c>
      <c r="M28" s="186">
        <f t="shared" si="22"/>
        <v>0</v>
      </c>
      <c r="N28" s="185"/>
      <c r="O28" s="186">
        <f t="shared" si="27"/>
        <v>0</v>
      </c>
      <c r="P28" s="187"/>
      <c r="Q28" s="187"/>
      <c r="R28" s="188"/>
      <c r="S28" s="189">
        <f t="shared" si="23"/>
        <v>0</v>
      </c>
      <c r="T28" s="189">
        <f t="shared" si="28"/>
        <v>0</v>
      </c>
      <c r="U28" s="188"/>
      <c r="V28" s="188"/>
      <c r="W28" s="189">
        <f t="shared" si="24"/>
        <v>0</v>
      </c>
      <c r="X28" s="55">
        <f t="shared" si="25"/>
        <v>0</v>
      </c>
      <c r="Y28" s="196"/>
      <c r="Z28" s="184">
        <f t="shared" si="12"/>
        <v>0</v>
      </c>
      <c r="AA28" s="184">
        <f t="shared" si="26"/>
        <v>0</v>
      </c>
      <c r="AB28" s="194">
        <f t="shared" si="29"/>
        <v>0</v>
      </c>
      <c r="AC28" s="196"/>
      <c r="AD28" s="184">
        <f t="shared" si="30"/>
        <v>0</v>
      </c>
      <c r="AE28" s="184">
        <f>10*Описание!E$16</f>
        <v>850000</v>
      </c>
      <c r="AF28" s="203">
        <f t="shared" si="31"/>
        <v>0</v>
      </c>
      <c r="AG28" s="203">
        <f t="shared" si="32"/>
        <v>0</v>
      </c>
    </row>
    <row r="29" spans="1:33" x14ac:dyDescent="0.25">
      <c r="A29" s="51">
        <v>8</v>
      </c>
      <c r="B29" s="52"/>
      <c r="C29" s="52"/>
      <c r="D29" s="187"/>
      <c r="E29" s="187"/>
      <c r="F29" s="187"/>
      <c r="G29" s="186">
        <f t="shared" si="1"/>
        <v>0</v>
      </c>
      <c r="H29" s="186">
        <f t="shared" si="18"/>
        <v>0</v>
      </c>
      <c r="I29" s="186">
        <f>Описание!E$18</f>
        <v>4250000</v>
      </c>
      <c r="J29" s="186">
        <f t="shared" si="19"/>
        <v>425000</v>
      </c>
      <c r="K29" s="186">
        <f t="shared" si="20"/>
        <v>0</v>
      </c>
      <c r="L29" s="109">
        <f t="shared" si="21"/>
        <v>0</v>
      </c>
      <c r="M29" s="186">
        <f t="shared" si="22"/>
        <v>0</v>
      </c>
      <c r="N29" s="185"/>
      <c r="O29" s="186">
        <f t="shared" si="27"/>
        <v>0</v>
      </c>
      <c r="P29" s="187"/>
      <c r="Q29" s="187"/>
      <c r="R29" s="188"/>
      <c r="S29" s="189">
        <f t="shared" si="23"/>
        <v>0</v>
      </c>
      <c r="T29" s="189">
        <f t="shared" si="28"/>
        <v>0</v>
      </c>
      <c r="U29" s="188"/>
      <c r="V29" s="188"/>
      <c r="W29" s="189">
        <f t="shared" si="24"/>
        <v>0</v>
      </c>
      <c r="X29" s="55">
        <f t="shared" si="25"/>
        <v>0</v>
      </c>
      <c r="Y29" s="196"/>
      <c r="Z29" s="184">
        <f t="shared" si="12"/>
        <v>0</v>
      </c>
      <c r="AA29" s="184">
        <f t="shared" si="26"/>
        <v>0</v>
      </c>
      <c r="AB29" s="194">
        <f t="shared" si="29"/>
        <v>0</v>
      </c>
      <c r="AC29" s="196"/>
      <c r="AD29" s="184">
        <f t="shared" si="30"/>
        <v>0</v>
      </c>
      <c r="AE29" s="184">
        <f>10*Описание!E$16</f>
        <v>850000</v>
      </c>
      <c r="AF29" s="203">
        <f t="shared" si="31"/>
        <v>0</v>
      </c>
      <c r="AG29" s="203">
        <f t="shared" si="32"/>
        <v>0</v>
      </c>
    </row>
    <row r="30" spans="1:33" x14ac:dyDescent="0.25">
      <c r="A30" s="51">
        <v>9</v>
      </c>
      <c r="B30" s="52"/>
      <c r="C30" s="52"/>
      <c r="D30" s="187"/>
      <c r="E30" s="187"/>
      <c r="F30" s="187"/>
      <c r="G30" s="186">
        <f t="shared" si="1"/>
        <v>0</v>
      </c>
      <c r="H30" s="186">
        <f t="shared" si="18"/>
        <v>0</v>
      </c>
      <c r="I30" s="186">
        <f>Описание!E$18</f>
        <v>4250000</v>
      </c>
      <c r="J30" s="186">
        <f t="shared" si="19"/>
        <v>425000</v>
      </c>
      <c r="K30" s="186">
        <f t="shared" si="20"/>
        <v>0</v>
      </c>
      <c r="L30" s="109">
        <f t="shared" si="21"/>
        <v>0</v>
      </c>
      <c r="M30" s="186">
        <f t="shared" si="22"/>
        <v>0</v>
      </c>
      <c r="N30" s="185"/>
      <c r="O30" s="186">
        <f t="shared" si="27"/>
        <v>0</v>
      </c>
      <c r="P30" s="187"/>
      <c r="Q30" s="187"/>
      <c r="R30" s="188"/>
      <c r="S30" s="189">
        <f t="shared" si="23"/>
        <v>0</v>
      </c>
      <c r="T30" s="189">
        <f t="shared" si="28"/>
        <v>0</v>
      </c>
      <c r="U30" s="188"/>
      <c r="V30" s="188"/>
      <c r="W30" s="189">
        <f t="shared" si="24"/>
        <v>0</v>
      </c>
      <c r="X30" s="55">
        <f t="shared" si="25"/>
        <v>0</v>
      </c>
      <c r="Y30" s="196"/>
      <c r="Z30" s="184">
        <f t="shared" si="12"/>
        <v>0</v>
      </c>
      <c r="AA30" s="184">
        <f t="shared" si="26"/>
        <v>0</v>
      </c>
      <c r="AB30" s="194">
        <f t="shared" si="29"/>
        <v>0</v>
      </c>
      <c r="AC30" s="196"/>
      <c r="AD30" s="184">
        <f t="shared" si="30"/>
        <v>0</v>
      </c>
      <c r="AE30" s="184">
        <f>10*Описание!E$16</f>
        <v>850000</v>
      </c>
      <c r="AF30" s="203">
        <f t="shared" si="31"/>
        <v>0</v>
      </c>
      <c r="AG30" s="203">
        <f t="shared" si="32"/>
        <v>0</v>
      </c>
    </row>
    <row r="31" spans="1:33" x14ac:dyDescent="0.25">
      <c r="A31" s="51">
        <v>10</v>
      </c>
      <c r="B31" s="52"/>
      <c r="C31" s="52"/>
      <c r="D31" s="187"/>
      <c r="E31" s="187"/>
      <c r="F31" s="187"/>
      <c r="G31" s="186">
        <f t="shared" si="1"/>
        <v>0</v>
      </c>
      <c r="H31" s="186">
        <f t="shared" si="18"/>
        <v>0</v>
      </c>
      <c r="I31" s="186">
        <f>Описание!E$18</f>
        <v>4250000</v>
      </c>
      <c r="J31" s="186">
        <f t="shared" si="19"/>
        <v>425000</v>
      </c>
      <c r="K31" s="186">
        <f t="shared" si="20"/>
        <v>0</v>
      </c>
      <c r="L31" s="109">
        <f t="shared" si="21"/>
        <v>0</v>
      </c>
      <c r="M31" s="186">
        <f t="shared" si="22"/>
        <v>0</v>
      </c>
      <c r="N31" s="185"/>
      <c r="O31" s="186">
        <f t="shared" si="27"/>
        <v>0</v>
      </c>
      <c r="P31" s="187"/>
      <c r="Q31" s="187"/>
      <c r="R31" s="188"/>
      <c r="S31" s="189">
        <f t="shared" si="23"/>
        <v>0</v>
      </c>
      <c r="T31" s="189">
        <f t="shared" si="28"/>
        <v>0</v>
      </c>
      <c r="U31" s="188"/>
      <c r="V31" s="188"/>
      <c r="W31" s="189">
        <f t="shared" si="24"/>
        <v>0</v>
      </c>
      <c r="X31" s="55">
        <f t="shared" si="25"/>
        <v>0</v>
      </c>
      <c r="Y31" s="196"/>
      <c r="Z31" s="184">
        <f t="shared" si="12"/>
        <v>0</v>
      </c>
      <c r="AA31" s="184">
        <f t="shared" si="26"/>
        <v>0</v>
      </c>
      <c r="AB31" s="194">
        <f t="shared" si="29"/>
        <v>0</v>
      </c>
      <c r="AC31" s="196"/>
      <c r="AD31" s="184">
        <f t="shared" si="30"/>
        <v>0</v>
      </c>
      <c r="AE31" s="184">
        <f>10*Описание!E$16</f>
        <v>850000</v>
      </c>
      <c r="AF31" s="203">
        <f t="shared" si="31"/>
        <v>0</v>
      </c>
      <c r="AG31" s="203">
        <f t="shared" si="32"/>
        <v>0</v>
      </c>
    </row>
    <row r="32" spans="1:33" x14ac:dyDescent="0.25">
      <c r="A32" s="51">
        <v>11</v>
      </c>
      <c r="B32" s="52"/>
      <c r="C32" s="52"/>
      <c r="D32" s="187"/>
      <c r="E32" s="187"/>
      <c r="F32" s="187"/>
      <c r="G32" s="186">
        <f t="shared" si="1"/>
        <v>0</v>
      </c>
      <c r="H32" s="186">
        <f t="shared" si="18"/>
        <v>0</v>
      </c>
      <c r="I32" s="186">
        <f>Описание!E$18</f>
        <v>4250000</v>
      </c>
      <c r="J32" s="186">
        <f t="shared" si="19"/>
        <v>425000</v>
      </c>
      <c r="K32" s="186">
        <f t="shared" si="20"/>
        <v>0</v>
      </c>
      <c r="L32" s="109">
        <f t="shared" si="21"/>
        <v>0</v>
      </c>
      <c r="M32" s="186">
        <f t="shared" si="22"/>
        <v>0</v>
      </c>
      <c r="N32" s="185"/>
      <c r="O32" s="186">
        <f t="shared" si="27"/>
        <v>0</v>
      </c>
      <c r="P32" s="187"/>
      <c r="Q32" s="187"/>
      <c r="R32" s="188"/>
      <c r="S32" s="189">
        <f t="shared" si="23"/>
        <v>0</v>
      </c>
      <c r="T32" s="189">
        <f t="shared" si="28"/>
        <v>0</v>
      </c>
      <c r="U32" s="188"/>
      <c r="V32" s="188"/>
      <c r="W32" s="189">
        <f t="shared" si="24"/>
        <v>0</v>
      </c>
      <c r="X32" s="55">
        <f t="shared" si="25"/>
        <v>0</v>
      </c>
      <c r="Y32" s="196"/>
      <c r="Z32" s="184">
        <f t="shared" si="12"/>
        <v>0</v>
      </c>
      <c r="AA32" s="184">
        <f t="shared" si="26"/>
        <v>0</v>
      </c>
      <c r="AB32" s="194">
        <f t="shared" si="29"/>
        <v>0</v>
      </c>
      <c r="AC32" s="196"/>
      <c r="AD32" s="184">
        <f t="shared" si="30"/>
        <v>0</v>
      </c>
      <c r="AE32" s="184">
        <f>10*Описание!E$16</f>
        <v>850000</v>
      </c>
      <c r="AF32" s="203">
        <f t="shared" si="31"/>
        <v>0</v>
      </c>
      <c r="AG32" s="203">
        <f t="shared" si="32"/>
        <v>0</v>
      </c>
    </row>
    <row r="33" spans="1:33" x14ac:dyDescent="0.25">
      <c r="A33" s="51">
        <v>12</v>
      </c>
      <c r="B33" s="52"/>
      <c r="C33" s="52"/>
      <c r="D33" s="187"/>
      <c r="E33" s="187"/>
      <c r="F33" s="187"/>
      <c r="G33" s="186">
        <f t="shared" si="1"/>
        <v>0</v>
      </c>
      <c r="H33" s="186">
        <f t="shared" si="18"/>
        <v>0</v>
      </c>
      <c r="I33" s="186">
        <f>Описание!E$18</f>
        <v>4250000</v>
      </c>
      <c r="J33" s="186">
        <f t="shared" si="19"/>
        <v>425000</v>
      </c>
      <c r="K33" s="186">
        <f t="shared" si="20"/>
        <v>0</v>
      </c>
      <c r="L33" s="109">
        <f t="shared" si="21"/>
        <v>0</v>
      </c>
      <c r="M33" s="186">
        <f t="shared" si="22"/>
        <v>0</v>
      </c>
      <c r="N33" s="185"/>
      <c r="O33" s="186">
        <f t="shared" si="27"/>
        <v>0</v>
      </c>
      <c r="P33" s="187"/>
      <c r="Q33" s="187"/>
      <c r="R33" s="188"/>
      <c r="S33" s="189">
        <f t="shared" si="23"/>
        <v>0</v>
      </c>
      <c r="T33" s="189">
        <f t="shared" si="28"/>
        <v>0</v>
      </c>
      <c r="U33" s="188"/>
      <c r="V33" s="188"/>
      <c r="W33" s="189">
        <f t="shared" si="24"/>
        <v>0</v>
      </c>
      <c r="X33" s="55">
        <f t="shared" si="25"/>
        <v>0</v>
      </c>
      <c r="Y33" s="196"/>
      <c r="Z33" s="184">
        <f t="shared" si="12"/>
        <v>0</v>
      </c>
      <c r="AA33" s="184">
        <f t="shared" si="26"/>
        <v>0</v>
      </c>
      <c r="AB33" s="194">
        <f t="shared" si="29"/>
        <v>0</v>
      </c>
      <c r="AC33" s="196"/>
      <c r="AD33" s="184">
        <f t="shared" si="30"/>
        <v>0</v>
      </c>
      <c r="AE33" s="184">
        <f>10*Описание!E$16</f>
        <v>850000</v>
      </c>
      <c r="AF33" s="203">
        <f t="shared" si="31"/>
        <v>0</v>
      </c>
      <c r="AG33" s="203">
        <f>AF33*2%</f>
        <v>0</v>
      </c>
    </row>
    <row r="34" spans="1:33" ht="13.2" customHeight="1" x14ac:dyDescent="0.25">
      <c r="B34" s="207" t="s">
        <v>149</v>
      </c>
      <c r="C34" s="49"/>
      <c r="D34" s="50">
        <f t="shared" ref="D34:AG34" si="33">SUM(D35:D46)</f>
        <v>0</v>
      </c>
      <c r="E34" s="50">
        <f t="shared" si="33"/>
        <v>0</v>
      </c>
      <c r="F34" s="50">
        <f t="shared" si="33"/>
        <v>0</v>
      </c>
      <c r="G34" s="50">
        <f t="shared" si="33"/>
        <v>0</v>
      </c>
      <c r="H34" s="50">
        <f t="shared" si="33"/>
        <v>0</v>
      </c>
      <c r="I34" s="50"/>
      <c r="J34" s="50"/>
      <c r="K34" s="50">
        <f t="shared" si="33"/>
        <v>0</v>
      </c>
      <c r="L34" s="50"/>
      <c r="M34" s="50">
        <f t="shared" si="33"/>
        <v>0</v>
      </c>
      <c r="N34" s="50">
        <f>SUM(N35:N46)</f>
        <v>0</v>
      </c>
      <c r="O34" s="50">
        <f>SUM(O35:O46)</f>
        <v>0</v>
      </c>
      <c r="P34" s="50">
        <f>SUM(P35:P46)</f>
        <v>0</v>
      </c>
      <c r="Q34" s="50">
        <f>SUM(Q35:Q46)</f>
        <v>0</v>
      </c>
      <c r="R34" s="50">
        <f t="shared" si="33"/>
        <v>0</v>
      </c>
      <c r="S34" s="50">
        <f>SUM(S35:S46)</f>
        <v>0</v>
      </c>
      <c r="T34" s="50">
        <f t="shared" si="33"/>
        <v>0</v>
      </c>
      <c r="U34" s="50">
        <f t="shared" si="33"/>
        <v>0</v>
      </c>
      <c r="V34" s="50">
        <f t="shared" si="33"/>
        <v>0</v>
      </c>
      <c r="W34" s="50">
        <f t="shared" si="33"/>
        <v>0</v>
      </c>
      <c r="X34" s="50">
        <f t="shared" si="33"/>
        <v>0</v>
      </c>
      <c r="Y34" s="50">
        <f t="shared" si="33"/>
        <v>0</v>
      </c>
      <c r="Z34" s="50">
        <f t="shared" si="33"/>
        <v>0</v>
      </c>
      <c r="AA34" s="50">
        <f>SUM(AA35:AA46)</f>
        <v>0</v>
      </c>
      <c r="AB34" s="50">
        <f t="shared" si="33"/>
        <v>0</v>
      </c>
      <c r="AC34" s="50">
        <f t="shared" si="33"/>
        <v>0</v>
      </c>
      <c r="AD34" s="50">
        <f t="shared" si="33"/>
        <v>0</v>
      </c>
      <c r="AE34" s="50">
        <f t="shared" si="33"/>
        <v>10200000</v>
      </c>
      <c r="AF34" s="50">
        <f t="shared" si="33"/>
        <v>0</v>
      </c>
      <c r="AG34" s="50">
        <f t="shared" si="33"/>
        <v>0</v>
      </c>
    </row>
    <row r="35" spans="1:33" x14ac:dyDescent="0.25">
      <c r="A35" s="51">
        <v>1</v>
      </c>
      <c r="B35" s="52" t="s">
        <v>442</v>
      </c>
      <c r="C35" s="52"/>
      <c r="D35" s="187"/>
      <c r="E35" s="187"/>
      <c r="F35" s="187"/>
      <c r="G35" s="186">
        <f t="shared" si="1"/>
        <v>0</v>
      </c>
      <c r="H35" s="186">
        <f t="shared" ref="H35:H46" si="34">G35*H$7</f>
        <v>0</v>
      </c>
      <c r="I35" s="186">
        <f>Описание!E$18</f>
        <v>4250000</v>
      </c>
      <c r="J35" s="186">
        <f t="shared" ref="J35:J46" si="35">I35*J$7</f>
        <v>425000</v>
      </c>
      <c r="K35" s="186">
        <f t="shared" ref="K35:K46" si="36">IF(J35&lt;H35,J35,H35)</f>
        <v>0</v>
      </c>
      <c r="L35" s="109">
        <f t="shared" ref="L35:L46" si="37">X35</f>
        <v>0</v>
      </c>
      <c r="M35" s="186">
        <f t="shared" si="22"/>
        <v>0</v>
      </c>
      <c r="N35" s="185"/>
      <c r="O35" s="186">
        <f t="shared" ref="O35:O46" si="38">N35+K35-M35</f>
        <v>0</v>
      </c>
      <c r="P35" s="187"/>
      <c r="Q35" s="187"/>
      <c r="R35" s="188"/>
      <c r="S35" s="189">
        <f t="shared" ref="S35:S46" si="39">IF((D35-P35-Q35-AG35-K35)&lt;0,0,(D35-P35-Q35-AG35-K35))</f>
        <v>0</v>
      </c>
      <c r="T35" s="189">
        <f t="shared" ref="T35:T46" si="40">S35*10%</f>
        <v>0</v>
      </c>
      <c r="U35" s="188"/>
      <c r="V35" s="188"/>
      <c r="W35" s="189">
        <f t="shared" ref="W35:W46" si="41">U35+D35-T35-V35-O35-AG35</f>
        <v>0</v>
      </c>
      <c r="X35" s="55">
        <f t="shared" ref="X35:X46" si="42">IF(D35=0,0,V35/(U35+D35-K35-T35))</f>
        <v>0</v>
      </c>
      <c r="Y35" s="196"/>
      <c r="Z35" s="184">
        <f t="shared" si="12"/>
        <v>0</v>
      </c>
      <c r="AA35" s="184">
        <f t="shared" ref="AA35:AA46" si="43">IF(W35&lt;=0,(Y35+Z35),(Y35+Z35)*X35)</f>
        <v>0</v>
      </c>
      <c r="AB35" s="194">
        <f>Y35+Z35-AA35</f>
        <v>0</v>
      </c>
      <c r="AC35" s="196"/>
      <c r="AD35" s="184">
        <f t="shared" ref="AD35:AD46" si="44">IF(E35=1,0,D35-AC35)</f>
        <v>0</v>
      </c>
      <c r="AE35" s="184">
        <f>10*Описание!E$16</f>
        <v>850000</v>
      </c>
      <c r="AF35" s="203">
        <f>IF(AD35&lt;AE35,AD35,AE35)</f>
        <v>0</v>
      </c>
      <c r="AG35" s="203">
        <f>AF35*2%</f>
        <v>0</v>
      </c>
    </row>
    <row r="36" spans="1:33" x14ac:dyDescent="0.25">
      <c r="A36" s="51">
        <v>2</v>
      </c>
      <c r="B36" s="52"/>
      <c r="C36" s="52"/>
      <c r="D36" s="187"/>
      <c r="E36" s="187"/>
      <c r="F36" s="187"/>
      <c r="G36" s="186">
        <f t="shared" si="1"/>
        <v>0</v>
      </c>
      <c r="H36" s="186">
        <f t="shared" si="34"/>
        <v>0</v>
      </c>
      <c r="I36" s="186">
        <f>Описание!E$18</f>
        <v>4250000</v>
      </c>
      <c r="J36" s="186">
        <f t="shared" si="35"/>
        <v>425000</v>
      </c>
      <c r="K36" s="186">
        <f t="shared" si="36"/>
        <v>0</v>
      </c>
      <c r="L36" s="109">
        <f t="shared" si="37"/>
        <v>0</v>
      </c>
      <c r="M36" s="186">
        <f t="shared" si="22"/>
        <v>0</v>
      </c>
      <c r="N36" s="185"/>
      <c r="O36" s="186">
        <f t="shared" si="38"/>
        <v>0</v>
      </c>
      <c r="P36" s="187"/>
      <c r="Q36" s="187"/>
      <c r="R36" s="191"/>
      <c r="S36" s="189">
        <f t="shared" si="39"/>
        <v>0</v>
      </c>
      <c r="T36" s="189">
        <f t="shared" si="40"/>
        <v>0</v>
      </c>
      <c r="U36" s="188"/>
      <c r="V36" s="188"/>
      <c r="W36" s="189">
        <f t="shared" si="41"/>
        <v>0</v>
      </c>
      <c r="X36" s="55">
        <f t="shared" si="42"/>
        <v>0</v>
      </c>
      <c r="Y36" s="196"/>
      <c r="Z36" s="184">
        <f t="shared" si="12"/>
        <v>0</v>
      </c>
      <c r="AA36" s="184">
        <f t="shared" si="43"/>
        <v>0</v>
      </c>
      <c r="AB36" s="194">
        <f t="shared" ref="AB36:AB46" si="45">Y36+Z36-AA36</f>
        <v>0</v>
      </c>
      <c r="AC36" s="196"/>
      <c r="AD36" s="184">
        <f t="shared" si="44"/>
        <v>0</v>
      </c>
      <c r="AE36" s="184">
        <f>10*Описание!E$16</f>
        <v>850000</v>
      </c>
      <c r="AF36" s="203">
        <f t="shared" ref="AF36:AF46" si="46">IF(AD36&lt;AE36,AD36,AE36)</f>
        <v>0</v>
      </c>
      <c r="AG36" s="203">
        <f>AF36*2%</f>
        <v>0</v>
      </c>
    </row>
    <row r="37" spans="1:33" x14ac:dyDescent="0.25">
      <c r="A37" s="51">
        <v>3</v>
      </c>
      <c r="B37" s="52"/>
      <c r="C37" s="52"/>
      <c r="D37" s="187"/>
      <c r="E37" s="187"/>
      <c r="F37" s="187"/>
      <c r="G37" s="186">
        <f t="shared" si="1"/>
        <v>0</v>
      </c>
      <c r="H37" s="186">
        <f t="shared" si="34"/>
        <v>0</v>
      </c>
      <c r="I37" s="186">
        <f>Описание!E$18</f>
        <v>4250000</v>
      </c>
      <c r="J37" s="186">
        <f t="shared" si="35"/>
        <v>425000</v>
      </c>
      <c r="K37" s="186">
        <f t="shared" si="36"/>
        <v>0</v>
      </c>
      <c r="L37" s="109">
        <f t="shared" si="37"/>
        <v>0</v>
      </c>
      <c r="M37" s="186">
        <f t="shared" si="22"/>
        <v>0</v>
      </c>
      <c r="N37" s="185"/>
      <c r="O37" s="186">
        <f t="shared" si="38"/>
        <v>0</v>
      </c>
      <c r="P37" s="187"/>
      <c r="Q37" s="187"/>
      <c r="R37" s="191"/>
      <c r="S37" s="189">
        <f t="shared" si="39"/>
        <v>0</v>
      </c>
      <c r="T37" s="189">
        <f t="shared" si="40"/>
        <v>0</v>
      </c>
      <c r="U37" s="188"/>
      <c r="V37" s="188"/>
      <c r="W37" s="189">
        <f t="shared" si="41"/>
        <v>0</v>
      </c>
      <c r="X37" s="55">
        <f t="shared" si="42"/>
        <v>0</v>
      </c>
      <c r="Y37" s="196"/>
      <c r="Z37" s="184">
        <f t="shared" si="12"/>
        <v>0</v>
      </c>
      <c r="AA37" s="184">
        <f t="shared" si="43"/>
        <v>0</v>
      </c>
      <c r="AB37" s="194">
        <f t="shared" si="45"/>
        <v>0</v>
      </c>
      <c r="AC37" s="196"/>
      <c r="AD37" s="184">
        <f t="shared" si="44"/>
        <v>0</v>
      </c>
      <c r="AE37" s="184">
        <f>10*Описание!E$16</f>
        <v>850000</v>
      </c>
      <c r="AF37" s="203">
        <f t="shared" si="46"/>
        <v>0</v>
      </c>
      <c r="AG37" s="203">
        <f t="shared" ref="AG37:AG46" si="47">AF37*2%</f>
        <v>0</v>
      </c>
    </row>
    <row r="38" spans="1:33" x14ac:dyDescent="0.25">
      <c r="A38" s="51">
        <v>4</v>
      </c>
      <c r="B38" s="52"/>
      <c r="C38" s="52"/>
      <c r="D38" s="187"/>
      <c r="E38" s="187"/>
      <c r="F38" s="187"/>
      <c r="G38" s="186">
        <f t="shared" si="1"/>
        <v>0</v>
      </c>
      <c r="H38" s="186">
        <f t="shared" si="34"/>
        <v>0</v>
      </c>
      <c r="I38" s="186">
        <f>Описание!E$18</f>
        <v>4250000</v>
      </c>
      <c r="J38" s="186">
        <f t="shared" si="35"/>
        <v>425000</v>
      </c>
      <c r="K38" s="186">
        <f t="shared" si="36"/>
        <v>0</v>
      </c>
      <c r="L38" s="109">
        <f t="shared" si="37"/>
        <v>0</v>
      </c>
      <c r="M38" s="186">
        <f t="shared" si="22"/>
        <v>0</v>
      </c>
      <c r="N38" s="185"/>
      <c r="O38" s="186">
        <f t="shared" si="38"/>
        <v>0</v>
      </c>
      <c r="P38" s="187"/>
      <c r="Q38" s="187"/>
      <c r="R38" s="188"/>
      <c r="S38" s="189">
        <f t="shared" si="39"/>
        <v>0</v>
      </c>
      <c r="T38" s="189">
        <f t="shared" si="40"/>
        <v>0</v>
      </c>
      <c r="U38" s="188"/>
      <c r="V38" s="188"/>
      <c r="W38" s="189">
        <f t="shared" si="41"/>
        <v>0</v>
      </c>
      <c r="X38" s="55">
        <f t="shared" si="42"/>
        <v>0</v>
      </c>
      <c r="Y38" s="196"/>
      <c r="Z38" s="184">
        <f t="shared" si="12"/>
        <v>0</v>
      </c>
      <c r="AA38" s="184">
        <f t="shared" si="43"/>
        <v>0</v>
      </c>
      <c r="AB38" s="194">
        <f t="shared" si="45"/>
        <v>0</v>
      </c>
      <c r="AC38" s="196"/>
      <c r="AD38" s="184">
        <f t="shared" si="44"/>
        <v>0</v>
      </c>
      <c r="AE38" s="184">
        <f>10*Описание!E$16</f>
        <v>850000</v>
      </c>
      <c r="AF38" s="203">
        <f t="shared" si="46"/>
        <v>0</v>
      </c>
      <c r="AG38" s="203">
        <f t="shared" si="47"/>
        <v>0</v>
      </c>
    </row>
    <row r="39" spans="1:33" x14ac:dyDescent="0.25">
      <c r="A39" s="51">
        <v>5</v>
      </c>
      <c r="B39" s="52"/>
      <c r="C39" s="52"/>
      <c r="D39" s="187"/>
      <c r="E39" s="187"/>
      <c r="F39" s="187"/>
      <c r="G39" s="186">
        <f t="shared" si="1"/>
        <v>0</v>
      </c>
      <c r="H39" s="186">
        <f t="shared" si="34"/>
        <v>0</v>
      </c>
      <c r="I39" s="186">
        <f>Описание!E$18</f>
        <v>4250000</v>
      </c>
      <c r="J39" s="186">
        <f t="shared" si="35"/>
        <v>425000</v>
      </c>
      <c r="K39" s="186">
        <f t="shared" si="36"/>
        <v>0</v>
      </c>
      <c r="L39" s="109">
        <f t="shared" si="37"/>
        <v>0</v>
      </c>
      <c r="M39" s="186">
        <f t="shared" si="22"/>
        <v>0</v>
      </c>
      <c r="N39" s="185"/>
      <c r="O39" s="186">
        <f t="shared" si="38"/>
        <v>0</v>
      </c>
      <c r="P39" s="187"/>
      <c r="Q39" s="187"/>
      <c r="R39" s="188"/>
      <c r="S39" s="189">
        <f t="shared" si="39"/>
        <v>0</v>
      </c>
      <c r="T39" s="189">
        <f t="shared" si="40"/>
        <v>0</v>
      </c>
      <c r="U39" s="188"/>
      <c r="V39" s="188"/>
      <c r="W39" s="189">
        <f t="shared" si="41"/>
        <v>0</v>
      </c>
      <c r="X39" s="55">
        <f t="shared" si="42"/>
        <v>0</v>
      </c>
      <c r="Y39" s="196"/>
      <c r="Z39" s="184">
        <f t="shared" si="12"/>
        <v>0</v>
      </c>
      <c r="AA39" s="184">
        <f t="shared" si="43"/>
        <v>0</v>
      </c>
      <c r="AB39" s="194">
        <f t="shared" si="45"/>
        <v>0</v>
      </c>
      <c r="AC39" s="196"/>
      <c r="AD39" s="184">
        <f t="shared" si="44"/>
        <v>0</v>
      </c>
      <c r="AE39" s="184">
        <f>10*Описание!E$16</f>
        <v>850000</v>
      </c>
      <c r="AF39" s="203">
        <f t="shared" si="46"/>
        <v>0</v>
      </c>
      <c r="AG39" s="203">
        <f t="shared" si="47"/>
        <v>0</v>
      </c>
    </row>
    <row r="40" spans="1:33" x14ac:dyDescent="0.25">
      <c r="A40" s="51">
        <v>6</v>
      </c>
      <c r="B40" s="52"/>
      <c r="C40" s="52"/>
      <c r="D40" s="187"/>
      <c r="E40" s="187"/>
      <c r="F40" s="187"/>
      <c r="G40" s="186">
        <f t="shared" si="1"/>
        <v>0</v>
      </c>
      <c r="H40" s="186">
        <f t="shared" si="34"/>
        <v>0</v>
      </c>
      <c r="I40" s="186">
        <f>Описание!E$18</f>
        <v>4250000</v>
      </c>
      <c r="J40" s="186">
        <f t="shared" si="35"/>
        <v>425000</v>
      </c>
      <c r="K40" s="186">
        <f t="shared" si="36"/>
        <v>0</v>
      </c>
      <c r="L40" s="109">
        <f t="shared" si="37"/>
        <v>0</v>
      </c>
      <c r="M40" s="186">
        <f t="shared" si="22"/>
        <v>0</v>
      </c>
      <c r="N40" s="185"/>
      <c r="O40" s="186">
        <f t="shared" si="38"/>
        <v>0</v>
      </c>
      <c r="P40" s="187"/>
      <c r="Q40" s="187"/>
      <c r="R40" s="188"/>
      <c r="S40" s="189">
        <f t="shared" si="39"/>
        <v>0</v>
      </c>
      <c r="T40" s="189">
        <f t="shared" si="40"/>
        <v>0</v>
      </c>
      <c r="U40" s="188"/>
      <c r="V40" s="188"/>
      <c r="W40" s="189">
        <f t="shared" si="41"/>
        <v>0</v>
      </c>
      <c r="X40" s="55">
        <f t="shared" si="42"/>
        <v>0</v>
      </c>
      <c r="Y40" s="196"/>
      <c r="Z40" s="184">
        <f t="shared" si="12"/>
        <v>0</v>
      </c>
      <c r="AA40" s="184">
        <f t="shared" si="43"/>
        <v>0</v>
      </c>
      <c r="AB40" s="194">
        <f t="shared" si="45"/>
        <v>0</v>
      </c>
      <c r="AC40" s="196"/>
      <c r="AD40" s="184">
        <f t="shared" si="44"/>
        <v>0</v>
      </c>
      <c r="AE40" s="184">
        <f>10*Описание!E$16</f>
        <v>850000</v>
      </c>
      <c r="AF40" s="203">
        <f t="shared" si="46"/>
        <v>0</v>
      </c>
      <c r="AG40" s="203">
        <f t="shared" si="47"/>
        <v>0</v>
      </c>
    </row>
    <row r="41" spans="1:33" x14ac:dyDescent="0.25">
      <c r="A41" s="51">
        <v>7</v>
      </c>
      <c r="B41" s="52"/>
      <c r="C41" s="52"/>
      <c r="D41" s="187"/>
      <c r="E41" s="187"/>
      <c r="F41" s="187"/>
      <c r="G41" s="186">
        <f t="shared" si="1"/>
        <v>0</v>
      </c>
      <c r="H41" s="186">
        <f t="shared" si="34"/>
        <v>0</v>
      </c>
      <c r="I41" s="186">
        <f>Описание!E$18</f>
        <v>4250000</v>
      </c>
      <c r="J41" s="186">
        <f t="shared" si="35"/>
        <v>425000</v>
      </c>
      <c r="K41" s="186">
        <f t="shared" si="36"/>
        <v>0</v>
      </c>
      <c r="L41" s="109">
        <f t="shared" si="37"/>
        <v>0</v>
      </c>
      <c r="M41" s="186">
        <f t="shared" si="22"/>
        <v>0</v>
      </c>
      <c r="N41" s="185"/>
      <c r="O41" s="186">
        <f t="shared" si="38"/>
        <v>0</v>
      </c>
      <c r="P41" s="187"/>
      <c r="Q41" s="187"/>
      <c r="R41" s="188"/>
      <c r="S41" s="189">
        <f t="shared" si="39"/>
        <v>0</v>
      </c>
      <c r="T41" s="189">
        <f t="shared" si="40"/>
        <v>0</v>
      </c>
      <c r="U41" s="188"/>
      <c r="V41" s="188"/>
      <c r="W41" s="189">
        <f t="shared" si="41"/>
        <v>0</v>
      </c>
      <c r="X41" s="55">
        <f t="shared" si="42"/>
        <v>0</v>
      </c>
      <c r="Y41" s="196"/>
      <c r="Z41" s="184">
        <f t="shared" si="12"/>
        <v>0</v>
      </c>
      <c r="AA41" s="184">
        <f t="shared" si="43"/>
        <v>0</v>
      </c>
      <c r="AB41" s="194">
        <f t="shared" si="45"/>
        <v>0</v>
      </c>
      <c r="AC41" s="196"/>
      <c r="AD41" s="184">
        <f t="shared" si="44"/>
        <v>0</v>
      </c>
      <c r="AE41" s="184">
        <f>10*Описание!E$16</f>
        <v>850000</v>
      </c>
      <c r="AF41" s="203">
        <f t="shared" si="46"/>
        <v>0</v>
      </c>
      <c r="AG41" s="203">
        <f t="shared" si="47"/>
        <v>0</v>
      </c>
    </row>
    <row r="42" spans="1:33" x14ac:dyDescent="0.25">
      <c r="A42" s="51">
        <v>8</v>
      </c>
      <c r="B42" s="52"/>
      <c r="C42" s="52"/>
      <c r="D42" s="187"/>
      <c r="E42" s="187"/>
      <c r="F42" s="187"/>
      <c r="G42" s="186">
        <f t="shared" si="1"/>
        <v>0</v>
      </c>
      <c r="H42" s="186">
        <f t="shared" si="34"/>
        <v>0</v>
      </c>
      <c r="I42" s="186">
        <f>Описание!E$18</f>
        <v>4250000</v>
      </c>
      <c r="J42" s="186">
        <f t="shared" si="35"/>
        <v>425000</v>
      </c>
      <c r="K42" s="186">
        <f t="shared" si="36"/>
        <v>0</v>
      </c>
      <c r="L42" s="109">
        <f t="shared" si="37"/>
        <v>0</v>
      </c>
      <c r="M42" s="186">
        <f t="shared" si="22"/>
        <v>0</v>
      </c>
      <c r="N42" s="185"/>
      <c r="O42" s="186">
        <f t="shared" si="38"/>
        <v>0</v>
      </c>
      <c r="P42" s="187"/>
      <c r="Q42" s="187"/>
      <c r="R42" s="188"/>
      <c r="S42" s="189">
        <f t="shared" si="39"/>
        <v>0</v>
      </c>
      <c r="T42" s="189">
        <f t="shared" si="40"/>
        <v>0</v>
      </c>
      <c r="U42" s="188"/>
      <c r="V42" s="188"/>
      <c r="W42" s="189">
        <f t="shared" si="41"/>
        <v>0</v>
      </c>
      <c r="X42" s="55">
        <f t="shared" si="42"/>
        <v>0</v>
      </c>
      <c r="Y42" s="196"/>
      <c r="Z42" s="184">
        <f t="shared" si="12"/>
        <v>0</v>
      </c>
      <c r="AA42" s="184">
        <f t="shared" si="43"/>
        <v>0</v>
      </c>
      <c r="AB42" s="194">
        <f t="shared" si="45"/>
        <v>0</v>
      </c>
      <c r="AC42" s="196"/>
      <c r="AD42" s="184">
        <f t="shared" si="44"/>
        <v>0</v>
      </c>
      <c r="AE42" s="184">
        <f>10*Описание!E$16</f>
        <v>850000</v>
      </c>
      <c r="AF42" s="203">
        <f t="shared" si="46"/>
        <v>0</v>
      </c>
      <c r="AG42" s="203">
        <f t="shared" si="47"/>
        <v>0</v>
      </c>
    </row>
    <row r="43" spans="1:33" x14ac:dyDescent="0.25">
      <c r="A43" s="51">
        <v>9</v>
      </c>
      <c r="B43" s="52"/>
      <c r="C43" s="52"/>
      <c r="D43" s="187"/>
      <c r="E43" s="187"/>
      <c r="F43" s="187"/>
      <c r="G43" s="186">
        <f t="shared" si="1"/>
        <v>0</v>
      </c>
      <c r="H43" s="186">
        <f t="shared" si="34"/>
        <v>0</v>
      </c>
      <c r="I43" s="186">
        <f>Описание!E$18</f>
        <v>4250000</v>
      </c>
      <c r="J43" s="186">
        <f t="shared" si="35"/>
        <v>425000</v>
      </c>
      <c r="K43" s="186">
        <f t="shared" si="36"/>
        <v>0</v>
      </c>
      <c r="L43" s="109">
        <f t="shared" si="37"/>
        <v>0</v>
      </c>
      <c r="M43" s="186">
        <f t="shared" si="22"/>
        <v>0</v>
      </c>
      <c r="N43" s="185"/>
      <c r="O43" s="186">
        <f t="shared" si="38"/>
        <v>0</v>
      </c>
      <c r="P43" s="187"/>
      <c r="Q43" s="187"/>
      <c r="R43" s="188"/>
      <c r="S43" s="189">
        <f t="shared" si="39"/>
        <v>0</v>
      </c>
      <c r="T43" s="189">
        <f t="shared" si="40"/>
        <v>0</v>
      </c>
      <c r="U43" s="188"/>
      <c r="V43" s="188"/>
      <c r="W43" s="189">
        <f t="shared" si="41"/>
        <v>0</v>
      </c>
      <c r="X43" s="55">
        <f t="shared" si="42"/>
        <v>0</v>
      </c>
      <c r="Y43" s="196"/>
      <c r="Z43" s="184">
        <f t="shared" si="12"/>
        <v>0</v>
      </c>
      <c r="AA43" s="184">
        <f t="shared" si="43"/>
        <v>0</v>
      </c>
      <c r="AB43" s="194">
        <f t="shared" si="45"/>
        <v>0</v>
      </c>
      <c r="AC43" s="196"/>
      <c r="AD43" s="184">
        <f t="shared" si="44"/>
        <v>0</v>
      </c>
      <c r="AE43" s="184">
        <f>10*Описание!E$16</f>
        <v>850000</v>
      </c>
      <c r="AF43" s="203">
        <f t="shared" si="46"/>
        <v>0</v>
      </c>
      <c r="AG43" s="203">
        <f t="shared" si="47"/>
        <v>0</v>
      </c>
    </row>
    <row r="44" spans="1:33" x14ac:dyDescent="0.25">
      <c r="A44" s="51">
        <v>10</v>
      </c>
      <c r="B44" s="52"/>
      <c r="C44" s="52"/>
      <c r="D44" s="187"/>
      <c r="E44" s="187"/>
      <c r="F44" s="187"/>
      <c r="G44" s="186">
        <f t="shared" si="1"/>
        <v>0</v>
      </c>
      <c r="H44" s="186">
        <f t="shared" si="34"/>
        <v>0</v>
      </c>
      <c r="I44" s="186">
        <f>Описание!E$18</f>
        <v>4250000</v>
      </c>
      <c r="J44" s="186">
        <f t="shared" si="35"/>
        <v>425000</v>
      </c>
      <c r="K44" s="186">
        <f t="shared" si="36"/>
        <v>0</v>
      </c>
      <c r="L44" s="109">
        <f t="shared" si="37"/>
        <v>0</v>
      </c>
      <c r="M44" s="186">
        <f t="shared" si="22"/>
        <v>0</v>
      </c>
      <c r="N44" s="185"/>
      <c r="O44" s="186">
        <f t="shared" si="38"/>
        <v>0</v>
      </c>
      <c r="P44" s="187"/>
      <c r="Q44" s="187"/>
      <c r="R44" s="188"/>
      <c r="S44" s="189">
        <f t="shared" si="39"/>
        <v>0</v>
      </c>
      <c r="T44" s="189">
        <f t="shared" si="40"/>
        <v>0</v>
      </c>
      <c r="U44" s="188"/>
      <c r="V44" s="188"/>
      <c r="W44" s="189">
        <f t="shared" si="41"/>
        <v>0</v>
      </c>
      <c r="X44" s="55">
        <f t="shared" si="42"/>
        <v>0</v>
      </c>
      <c r="Y44" s="196"/>
      <c r="Z44" s="184">
        <f t="shared" si="12"/>
        <v>0</v>
      </c>
      <c r="AA44" s="184">
        <f t="shared" si="43"/>
        <v>0</v>
      </c>
      <c r="AB44" s="194">
        <f t="shared" si="45"/>
        <v>0</v>
      </c>
      <c r="AC44" s="196"/>
      <c r="AD44" s="184">
        <f t="shared" si="44"/>
        <v>0</v>
      </c>
      <c r="AE44" s="184">
        <f>10*Описание!E$16</f>
        <v>850000</v>
      </c>
      <c r="AF44" s="203">
        <f t="shared" si="46"/>
        <v>0</v>
      </c>
      <c r="AG44" s="203">
        <f t="shared" si="47"/>
        <v>0</v>
      </c>
    </row>
    <row r="45" spans="1:33" x14ac:dyDescent="0.25">
      <c r="A45" s="51">
        <v>11</v>
      </c>
      <c r="B45" s="52"/>
      <c r="C45" s="52"/>
      <c r="D45" s="187"/>
      <c r="E45" s="187"/>
      <c r="F45" s="187"/>
      <c r="G45" s="186">
        <f t="shared" si="1"/>
        <v>0</v>
      </c>
      <c r="H45" s="186">
        <f t="shared" si="34"/>
        <v>0</v>
      </c>
      <c r="I45" s="186">
        <f>Описание!E$18</f>
        <v>4250000</v>
      </c>
      <c r="J45" s="186">
        <f t="shared" si="35"/>
        <v>425000</v>
      </c>
      <c r="K45" s="186">
        <f t="shared" si="36"/>
        <v>0</v>
      </c>
      <c r="L45" s="109">
        <f t="shared" si="37"/>
        <v>0</v>
      </c>
      <c r="M45" s="186">
        <f t="shared" si="22"/>
        <v>0</v>
      </c>
      <c r="N45" s="185"/>
      <c r="O45" s="186">
        <f t="shared" si="38"/>
        <v>0</v>
      </c>
      <c r="P45" s="187"/>
      <c r="Q45" s="187"/>
      <c r="R45" s="188"/>
      <c r="S45" s="189">
        <f t="shared" si="39"/>
        <v>0</v>
      </c>
      <c r="T45" s="189">
        <f t="shared" si="40"/>
        <v>0</v>
      </c>
      <c r="U45" s="188"/>
      <c r="V45" s="188"/>
      <c r="W45" s="189">
        <f t="shared" si="41"/>
        <v>0</v>
      </c>
      <c r="X45" s="55">
        <f t="shared" si="42"/>
        <v>0</v>
      </c>
      <c r="Y45" s="196"/>
      <c r="Z45" s="184">
        <f t="shared" si="12"/>
        <v>0</v>
      </c>
      <c r="AA45" s="184">
        <f t="shared" si="43"/>
        <v>0</v>
      </c>
      <c r="AB45" s="194">
        <f t="shared" si="45"/>
        <v>0</v>
      </c>
      <c r="AC45" s="196"/>
      <c r="AD45" s="184">
        <f t="shared" si="44"/>
        <v>0</v>
      </c>
      <c r="AE45" s="184">
        <f>10*Описание!E$16</f>
        <v>850000</v>
      </c>
      <c r="AF45" s="203">
        <f t="shared" si="46"/>
        <v>0</v>
      </c>
      <c r="AG45" s="203">
        <f t="shared" si="47"/>
        <v>0</v>
      </c>
    </row>
    <row r="46" spans="1:33" x14ac:dyDescent="0.25">
      <c r="A46" s="51">
        <v>12</v>
      </c>
      <c r="B46" s="52"/>
      <c r="C46" s="52"/>
      <c r="D46" s="187"/>
      <c r="E46" s="187"/>
      <c r="F46" s="187"/>
      <c r="G46" s="186">
        <f t="shared" si="1"/>
        <v>0</v>
      </c>
      <c r="H46" s="186">
        <f t="shared" si="34"/>
        <v>0</v>
      </c>
      <c r="I46" s="186">
        <f>Описание!E$18</f>
        <v>4250000</v>
      </c>
      <c r="J46" s="186">
        <f t="shared" si="35"/>
        <v>425000</v>
      </c>
      <c r="K46" s="186">
        <f t="shared" si="36"/>
        <v>0</v>
      </c>
      <c r="L46" s="109">
        <f t="shared" si="37"/>
        <v>0</v>
      </c>
      <c r="M46" s="186">
        <f t="shared" si="22"/>
        <v>0</v>
      </c>
      <c r="N46" s="185"/>
      <c r="O46" s="186">
        <f t="shared" si="38"/>
        <v>0</v>
      </c>
      <c r="P46" s="187"/>
      <c r="Q46" s="187"/>
      <c r="R46" s="188"/>
      <c r="S46" s="189">
        <f t="shared" si="39"/>
        <v>0</v>
      </c>
      <c r="T46" s="189">
        <f t="shared" si="40"/>
        <v>0</v>
      </c>
      <c r="U46" s="188"/>
      <c r="V46" s="188"/>
      <c r="W46" s="189">
        <f t="shared" si="41"/>
        <v>0</v>
      </c>
      <c r="X46" s="55">
        <f t="shared" si="42"/>
        <v>0</v>
      </c>
      <c r="Y46" s="196"/>
      <c r="Z46" s="184">
        <f t="shared" si="12"/>
        <v>0</v>
      </c>
      <c r="AA46" s="184">
        <f t="shared" si="43"/>
        <v>0</v>
      </c>
      <c r="AB46" s="194">
        <f t="shared" si="45"/>
        <v>0</v>
      </c>
      <c r="AC46" s="196"/>
      <c r="AD46" s="184">
        <f t="shared" si="44"/>
        <v>0</v>
      </c>
      <c r="AE46" s="184">
        <f>10*Описание!E$16</f>
        <v>850000</v>
      </c>
      <c r="AF46" s="203">
        <f t="shared" si="46"/>
        <v>0</v>
      </c>
      <c r="AG46" s="203">
        <f t="shared" si="47"/>
        <v>0</v>
      </c>
    </row>
    <row r="47" spans="1:33" s="9" customFormat="1" ht="42.75" customHeight="1" thickBot="1" x14ac:dyDescent="0.3">
      <c r="A47" s="323" t="s">
        <v>147</v>
      </c>
      <c r="B47" s="324"/>
      <c r="C47" s="46"/>
      <c r="D47" s="192">
        <f>D34+D21+D8</f>
        <v>250000</v>
      </c>
      <c r="E47" s="192">
        <f t="shared" ref="E47:M47" si="48">E34+E21+E8</f>
        <v>1</v>
      </c>
      <c r="F47" s="192">
        <f t="shared" si="48"/>
        <v>0</v>
      </c>
      <c r="G47" s="192">
        <f t="shared" si="48"/>
        <v>0</v>
      </c>
      <c r="H47" s="192">
        <f t="shared" si="48"/>
        <v>0</v>
      </c>
      <c r="I47" s="192">
        <f t="shared" si="48"/>
        <v>0</v>
      </c>
      <c r="J47" s="192">
        <f t="shared" si="48"/>
        <v>0</v>
      </c>
      <c r="K47" s="192">
        <f t="shared" si="48"/>
        <v>0</v>
      </c>
      <c r="L47" s="53">
        <f t="shared" si="48"/>
        <v>0</v>
      </c>
      <c r="M47" s="192">
        <f t="shared" si="48"/>
        <v>0</v>
      </c>
      <c r="N47" s="192">
        <f t="shared" ref="N47:T47" si="49">N34+N21+N8</f>
        <v>0</v>
      </c>
      <c r="O47" s="192">
        <f t="shared" si="49"/>
        <v>0</v>
      </c>
      <c r="P47" s="192">
        <f t="shared" si="49"/>
        <v>0</v>
      </c>
      <c r="Q47" s="192">
        <f t="shared" si="49"/>
        <v>0</v>
      </c>
      <c r="R47" s="192">
        <f t="shared" si="49"/>
        <v>0</v>
      </c>
      <c r="S47" s="192">
        <f t="shared" si="49"/>
        <v>250000</v>
      </c>
      <c r="T47" s="192">
        <f t="shared" si="49"/>
        <v>25000</v>
      </c>
      <c r="U47" s="192">
        <f>U8</f>
        <v>0</v>
      </c>
      <c r="V47" s="192">
        <f>V34+V21+V8</f>
        <v>225000</v>
      </c>
      <c r="W47" s="192">
        <f t="shared" ref="W47:AG47" si="50">W34+W21+W8</f>
        <v>0</v>
      </c>
      <c r="X47" s="53">
        <f t="shared" si="50"/>
        <v>1</v>
      </c>
      <c r="Y47" s="192">
        <f t="shared" si="50"/>
        <v>0</v>
      </c>
      <c r="Z47" s="192">
        <f t="shared" si="50"/>
        <v>25000</v>
      </c>
      <c r="AA47" s="192">
        <f t="shared" si="50"/>
        <v>25000</v>
      </c>
      <c r="AB47" s="192">
        <f t="shared" si="50"/>
        <v>0</v>
      </c>
      <c r="AC47" s="192">
        <f t="shared" si="50"/>
        <v>0</v>
      </c>
      <c r="AD47" s="192">
        <f t="shared" si="50"/>
        <v>0</v>
      </c>
      <c r="AE47" s="192">
        <f t="shared" si="50"/>
        <v>30600000</v>
      </c>
      <c r="AF47" s="192">
        <f>AF34+AF21+AF7</f>
        <v>0</v>
      </c>
      <c r="AG47" s="192">
        <f t="shared" si="50"/>
        <v>0</v>
      </c>
    </row>
    <row r="48" spans="1:33" ht="15.75" customHeight="1" x14ac:dyDescent="0.25">
      <c r="X48" s="8"/>
      <c r="Y48" s="8"/>
      <c r="Z48" s="8"/>
      <c r="AA48" s="9"/>
      <c r="AB48" s="8"/>
      <c r="AC48" s="8"/>
      <c r="AD48" s="8"/>
      <c r="AE48" s="9"/>
      <c r="AF48" s="9"/>
      <c r="AG48" s="8"/>
    </row>
    <row r="49" spans="1:23" x14ac:dyDescent="0.25">
      <c r="A49" s="306" t="s">
        <v>224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</row>
  </sheetData>
  <mergeCells count="2">
    <mergeCell ref="A47:B47"/>
    <mergeCell ref="A49:W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Описание</vt:lpstr>
      <vt:lpstr>200.00 200.01</vt:lpstr>
      <vt:lpstr>РегистрОПВ</vt:lpstr>
      <vt:lpstr>регистр200.02</vt:lpstr>
      <vt:lpstr>регистр200.05</vt:lpstr>
      <vt:lpstr>РегистрИПН</vt:lpstr>
      <vt:lpstr>РегистрСО ОСМС</vt:lpstr>
      <vt:lpstr>РегистрСН</vt:lpstr>
      <vt:lpstr>ДоговораГПХ</vt:lpstr>
      <vt:lpstr>ЕП</vt:lpstr>
      <vt:lpstr>200.06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Чарлина Инга</dc:creator>
  <cp:lastModifiedBy>Айман</cp:lastModifiedBy>
  <cp:lastPrinted>2016-08-07T11:13:31Z</cp:lastPrinted>
  <dcterms:created xsi:type="dcterms:W3CDTF">2016-08-05T02:24:44Z</dcterms:created>
  <dcterms:modified xsi:type="dcterms:W3CDTF">2024-04-05T21:39:33Z</dcterms:modified>
</cp:coreProperties>
</file>