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арья\Downloads\"/>
    </mc:Choice>
  </mc:AlternateContent>
  <bookViews>
    <workbookView xWindow="0" yWindow="0" windowWidth="28800" windowHeight="12300" tabRatio="831" activeTab="8"/>
  </bookViews>
  <sheets>
    <sheet name="Расчетные показатели" sheetId="6" r:id="rId1"/>
    <sheet name="200.00 " sheetId="1" r:id="rId2"/>
    <sheet name="200.01" sheetId="12" r:id="rId3"/>
    <sheet name="Расчет ОПВ" sheetId="2" r:id="rId4"/>
    <sheet name="Расчет ИПН" sheetId="3" r:id="rId5"/>
    <sheet name="Расчет СО и ОСМС" sheetId="4" r:id="rId6"/>
    <sheet name="Расчет СН" sheetId="5" r:id="rId7"/>
    <sheet name="Договора ГПХ" sheetId="8" r:id="rId8"/>
    <sheet name="Единый платеж" sheetId="10" r:id="rId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5" i="12" l="1"/>
  <c r="E123" i="12"/>
  <c r="E121" i="12"/>
  <c r="E100" i="12"/>
  <c r="E98" i="12"/>
  <c r="E96" i="12"/>
  <c r="K80" i="12"/>
  <c r="K64" i="12"/>
  <c r="K54" i="12"/>
  <c r="X9" i="10"/>
  <c r="W9" i="10"/>
  <c r="V9" i="10"/>
  <c r="Q9" i="10"/>
  <c r="P9" i="10"/>
  <c r="J10" i="10"/>
  <c r="H10" i="10"/>
  <c r="K96" i="12" l="1"/>
  <c r="K121" i="12"/>
  <c r="U19" i="8"/>
  <c r="U18" i="8"/>
  <c r="U17" i="8"/>
  <c r="U15" i="8"/>
  <c r="U14" i="8"/>
  <c r="U13" i="8"/>
  <c r="U11" i="8"/>
  <c r="U10" i="8"/>
  <c r="U9" i="8"/>
  <c r="N22" i="10"/>
  <c r="N21" i="10"/>
  <c r="N20" i="10"/>
  <c r="N18" i="10"/>
  <c r="N17" i="10"/>
  <c r="N16" i="10"/>
  <c r="N14" i="10"/>
  <c r="N13" i="10"/>
  <c r="N12" i="10"/>
  <c r="I22" i="10"/>
  <c r="J22" i="10" s="1"/>
  <c r="I21" i="10"/>
  <c r="I20" i="10"/>
  <c r="J20" i="10" s="1"/>
  <c r="I18" i="10"/>
  <c r="J18" i="10" s="1"/>
  <c r="I17" i="10"/>
  <c r="J17" i="10" s="1"/>
  <c r="I16" i="10"/>
  <c r="J16" i="10" s="1"/>
  <c r="I14" i="10"/>
  <c r="I13" i="10"/>
  <c r="J13" i="10" s="1"/>
  <c r="I12" i="10"/>
  <c r="J12" i="10" s="1"/>
  <c r="J5" i="10"/>
  <c r="H5" i="10"/>
  <c r="D4" i="10"/>
  <c r="C2" i="10"/>
  <c r="J23" i="10"/>
  <c r="I23" i="10"/>
  <c r="S22" i="10"/>
  <c r="M22" i="10"/>
  <c r="G22" i="10"/>
  <c r="X22" i="10" s="1"/>
  <c r="S21" i="10"/>
  <c r="M21" i="10"/>
  <c r="G21" i="10"/>
  <c r="X21" i="10" s="1"/>
  <c r="S20" i="10"/>
  <c r="M20" i="10"/>
  <c r="G20" i="10"/>
  <c r="H20" i="10" s="1"/>
  <c r="R19" i="10"/>
  <c r="L19" i="10"/>
  <c r="L23" i="10" s="1"/>
  <c r="F19" i="10"/>
  <c r="D19" i="10"/>
  <c r="S18" i="10"/>
  <c r="M18" i="10"/>
  <c r="G18" i="10"/>
  <c r="X18" i="10" s="1"/>
  <c r="S17" i="10"/>
  <c r="M17" i="10"/>
  <c r="G17" i="10"/>
  <c r="X17" i="10" s="1"/>
  <c r="S16" i="10"/>
  <c r="M16" i="10"/>
  <c r="G16" i="10"/>
  <c r="R15" i="10"/>
  <c r="L15" i="10"/>
  <c r="F15" i="10"/>
  <c r="D15" i="10"/>
  <c r="S14" i="10"/>
  <c r="M14" i="10"/>
  <c r="G14" i="10"/>
  <c r="X14" i="10" s="1"/>
  <c r="S13" i="10"/>
  <c r="M13" i="10"/>
  <c r="G13" i="10"/>
  <c r="S12" i="10"/>
  <c r="M12" i="10"/>
  <c r="G12" i="10"/>
  <c r="X12" i="10" s="1"/>
  <c r="R11" i="10"/>
  <c r="L11" i="10"/>
  <c r="F11" i="10"/>
  <c r="D11" i="10"/>
  <c r="E104" i="1"/>
  <c r="E79" i="1"/>
  <c r="I5" i="4"/>
  <c r="K122" i="1"/>
  <c r="E124" i="1"/>
  <c r="E122" i="1"/>
  <c r="G14" i="2"/>
  <c r="S14" i="2" s="1"/>
  <c r="D15" i="3"/>
  <c r="C15" i="4" s="1"/>
  <c r="K15" i="4" s="1"/>
  <c r="P24" i="2"/>
  <c r="P23" i="2"/>
  <c r="P22" i="2"/>
  <c r="P20" i="2"/>
  <c r="P19" i="2"/>
  <c r="P18" i="2"/>
  <c r="P15" i="2"/>
  <c r="P14" i="2"/>
  <c r="P16" i="2"/>
  <c r="D14" i="3"/>
  <c r="C14" i="4" s="1"/>
  <c r="K14" i="4" s="1"/>
  <c r="G16" i="8"/>
  <c r="H16" i="8"/>
  <c r="G12" i="8"/>
  <c r="H12" i="8"/>
  <c r="G8" i="8"/>
  <c r="H8" i="8"/>
  <c r="E13" i="3"/>
  <c r="O14" i="2"/>
  <c r="O24" i="2"/>
  <c r="O23" i="2"/>
  <c r="O22" i="2"/>
  <c r="N21" i="2"/>
  <c r="N25" i="2" s="1"/>
  <c r="O20" i="2"/>
  <c r="O19" i="2"/>
  <c r="O18" i="2"/>
  <c r="N17" i="2"/>
  <c r="O16" i="2"/>
  <c r="O15" i="2"/>
  <c r="N13" i="2"/>
  <c r="V19" i="8"/>
  <c r="V18" i="8"/>
  <c r="V17" i="8"/>
  <c r="V15" i="8"/>
  <c r="V14" i="8"/>
  <c r="W14" i="8" s="1"/>
  <c r="X14" i="8" s="1"/>
  <c r="V13" i="8"/>
  <c r="V10" i="8"/>
  <c r="V11" i="8"/>
  <c r="V9" i="8"/>
  <c r="T16" i="8"/>
  <c r="T12" i="8"/>
  <c r="T8" i="8"/>
  <c r="B7" i="6"/>
  <c r="B8" i="6" s="1"/>
  <c r="P8" i="8"/>
  <c r="P12" i="8"/>
  <c r="O19" i="8"/>
  <c r="O18" i="8"/>
  <c r="O15" i="8"/>
  <c r="O14" i="8"/>
  <c r="P13" i="3"/>
  <c r="P25" i="3" s="1"/>
  <c r="K104" i="1"/>
  <c r="F9" i="8"/>
  <c r="G24" i="4"/>
  <c r="G23" i="4"/>
  <c r="G22" i="4"/>
  <c r="G20" i="4"/>
  <c r="G19" i="4"/>
  <c r="G18" i="4"/>
  <c r="G15" i="4"/>
  <c r="G16" i="4"/>
  <c r="G14" i="4"/>
  <c r="B5" i="6"/>
  <c r="B6" i="6" s="1"/>
  <c r="F19" i="8"/>
  <c r="F18" i="8"/>
  <c r="F17" i="8"/>
  <c r="F15" i="8"/>
  <c r="F14" i="8"/>
  <c r="F13" i="8"/>
  <c r="F10" i="8"/>
  <c r="F11" i="8"/>
  <c r="O11" i="8"/>
  <c r="I5" i="2"/>
  <c r="I24" i="2"/>
  <c r="J24" i="2" s="1"/>
  <c r="I23" i="2"/>
  <c r="J23" i="2" s="1"/>
  <c r="I22" i="2"/>
  <c r="I19" i="2"/>
  <c r="J19" i="2" s="1"/>
  <c r="I20" i="2"/>
  <c r="I18" i="2"/>
  <c r="J18" i="2" s="1"/>
  <c r="I15" i="2"/>
  <c r="J15" i="2" s="1"/>
  <c r="I16" i="2"/>
  <c r="J16" i="2" s="1"/>
  <c r="I14" i="2"/>
  <c r="J14" i="2" s="1"/>
  <c r="B3" i="6"/>
  <c r="B4" i="6" s="1"/>
  <c r="E106" i="1"/>
  <c r="C15" i="5"/>
  <c r="E15" i="5" s="1"/>
  <c r="D4" i="5"/>
  <c r="G5" i="5"/>
  <c r="C5" i="5"/>
  <c r="C2" i="5"/>
  <c r="G5" i="4"/>
  <c r="D4" i="4"/>
  <c r="C2" i="4"/>
  <c r="F7" i="3"/>
  <c r="C7" i="3"/>
  <c r="C4" i="3"/>
  <c r="G5" i="2"/>
  <c r="C4" i="2"/>
  <c r="G24" i="2"/>
  <c r="S24" i="2" s="1"/>
  <c r="G23" i="2"/>
  <c r="S23" i="2" s="1"/>
  <c r="G22" i="2"/>
  <c r="S22" i="2" s="1"/>
  <c r="F21" i="2"/>
  <c r="D21" i="2"/>
  <c r="G20" i="2"/>
  <c r="S20" i="2" s="1"/>
  <c r="G19" i="2"/>
  <c r="S19" i="2" s="1"/>
  <c r="G18" i="2"/>
  <c r="S18" i="2" s="1"/>
  <c r="F17" i="2"/>
  <c r="D17" i="2"/>
  <c r="G16" i="2"/>
  <c r="S16" i="2" s="1"/>
  <c r="G15" i="2"/>
  <c r="S15" i="2" s="1"/>
  <c r="F13" i="2"/>
  <c r="D13" i="2"/>
  <c r="C13" i="2"/>
  <c r="C25" i="2" s="1"/>
  <c r="L12" i="8"/>
  <c r="L8" i="8"/>
  <c r="L20" i="8" s="1"/>
  <c r="M12" i="8"/>
  <c r="I12" i="8"/>
  <c r="D8" i="8"/>
  <c r="I8" i="8"/>
  <c r="I16" i="8"/>
  <c r="D16" i="8"/>
  <c r="D12" i="8"/>
  <c r="J21" i="4"/>
  <c r="J17" i="4"/>
  <c r="J13" i="4"/>
  <c r="C16" i="5"/>
  <c r="C17" i="5"/>
  <c r="E17" i="5" s="1"/>
  <c r="C19" i="5"/>
  <c r="C20" i="5"/>
  <c r="E20" i="5" s="1"/>
  <c r="C21" i="5"/>
  <c r="E21" i="5" s="1"/>
  <c r="C23" i="5"/>
  <c r="E23" i="5" s="1"/>
  <c r="C24" i="5"/>
  <c r="E24" i="5" s="1"/>
  <c r="C25" i="5"/>
  <c r="E25" i="5" s="1"/>
  <c r="K79" i="1"/>
  <c r="E81" i="1"/>
  <c r="D16" i="3"/>
  <c r="C16" i="4" s="1"/>
  <c r="K16" i="4" s="1"/>
  <c r="L16" i="4" s="1"/>
  <c r="M16" i="4" s="1"/>
  <c r="D13" i="4"/>
  <c r="D17" i="4"/>
  <c r="D21" i="4"/>
  <c r="F21" i="3"/>
  <c r="D23" i="3"/>
  <c r="C23" i="4" s="1"/>
  <c r="K23" i="4" s="1"/>
  <c r="D24" i="3"/>
  <c r="D22" i="3"/>
  <c r="C22" i="4" s="1"/>
  <c r="K22" i="4" s="1"/>
  <c r="L22" i="4" s="1"/>
  <c r="M22" i="4" s="1"/>
  <c r="D18" i="3"/>
  <c r="D20" i="3"/>
  <c r="C20" i="4" s="1"/>
  <c r="K20" i="4" s="1"/>
  <c r="L20" i="4" s="1"/>
  <c r="M20" i="4" s="1"/>
  <c r="D19" i="3"/>
  <c r="C19" i="4" s="1"/>
  <c r="K19" i="4" s="1"/>
  <c r="E21" i="3"/>
  <c r="F17" i="3"/>
  <c r="E17" i="3"/>
  <c r="F13" i="3"/>
  <c r="K13" i="3"/>
  <c r="K25" i="3" s="1"/>
  <c r="O25" i="3"/>
  <c r="K86" i="1"/>
  <c r="O10" i="8"/>
  <c r="C17" i="2"/>
  <c r="C21" i="2"/>
  <c r="H16" i="10"/>
  <c r="W22" i="10"/>
  <c r="W17" i="10"/>
  <c r="W21" i="10"/>
  <c r="W16" i="10"/>
  <c r="W20" i="10"/>
  <c r="W12" i="10"/>
  <c r="W18" i="10"/>
  <c r="H21" i="10"/>
  <c r="J21" i="10"/>
  <c r="O13" i="8"/>
  <c r="H14" i="10"/>
  <c r="N11" i="10" l="1"/>
  <c r="O20" i="10"/>
  <c r="P20" i="10" s="1"/>
  <c r="R23" i="10"/>
  <c r="O18" i="10"/>
  <c r="Q18" i="10" s="1"/>
  <c r="H18" i="10"/>
  <c r="F23" i="10"/>
  <c r="H17" i="10"/>
  <c r="K17" i="10" s="1"/>
  <c r="S11" i="10"/>
  <c r="G19" i="10"/>
  <c r="S19" i="10"/>
  <c r="G20" i="8"/>
  <c r="U8" i="8"/>
  <c r="W15" i="8"/>
  <c r="X15" i="8" s="1"/>
  <c r="J15" i="8" s="1"/>
  <c r="K15" i="8" s="1"/>
  <c r="N15" i="8" s="1"/>
  <c r="U12" i="8"/>
  <c r="U16" i="8"/>
  <c r="K30" i="12"/>
  <c r="W18" i="8"/>
  <c r="X18" i="8" s="1"/>
  <c r="W9" i="8"/>
  <c r="X9" i="8" s="1"/>
  <c r="W11" i="8"/>
  <c r="X11" i="8" s="1"/>
  <c r="W19" i="8"/>
  <c r="X19" i="8" s="1"/>
  <c r="J19" i="8" s="1"/>
  <c r="K19" i="8" s="1"/>
  <c r="N19" i="8" s="1"/>
  <c r="H20" i="8"/>
  <c r="I20" i="8"/>
  <c r="Q22" i="2"/>
  <c r="R22" i="2" s="1"/>
  <c r="H22" i="3" s="1"/>
  <c r="H23" i="2"/>
  <c r="K23" i="2" s="1"/>
  <c r="L23" i="2" s="1"/>
  <c r="Q16" i="2"/>
  <c r="R16" i="2" s="1"/>
  <c r="O17" i="2"/>
  <c r="F25" i="2"/>
  <c r="Q15" i="2"/>
  <c r="R15" i="2" s="1"/>
  <c r="H15" i="3" s="1"/>
  <c r="O21" i="10"/>
  <c r="Q21" i="10" s="1"/>
  <c r="O22" i="10"/>
  <c r="P22" i="10" s="1"/>
  <c r="O16" i="10"/>
  <c r="P16" i="10" s="1"/>
  <c r="Q23" i="2"/>
  <c r="R23" i="2" s="1"/>
  <c r="H23" i="3" s="1"/>
  <c r="L14" i="4"/>
  <c r="M14" i="4" s="1"/>
  <c r="K81" i="1"/>
  <c r="K106" i="1"/>
  <c r="H18" i="2"/>
  <c r="K18" i="2" s="1"/>
  <c r="L18" i="2" s="1"/>
  <c r="Q20" i="2"/>
  <c r="R20" i="2" s="1"/>
  <c r="H20" i="3" s="1"/>
  <c r="K124" i="1"/>
  <c r="S15" i="10"/>
  <c r="J18" i="8"/>
  <c r="K18" i="8" s="1"/>
  <c r="Q18" i="8" s="1"/>
  <c r="M19" i="10"/>
  <c r="D13" i="3"/>
  <c r="E5" i="12" s="1"/>
  <c r="L19" i="4"/>
  <c r="M19" i="4" s="1"/>
  <c r="D25" i="4"/>
  <c r="P17" i="2"/>
  <c r="O13" i="10"/>
  <c r="O17" i="10"/>
  <c r="L23" i="4"/>
  <c r="M23" i="4" s="1"/>
  <c r="L15" i="4"/>
  <c r="M15" i="4" s="1"/>
  <c r="O12" i="8"/>
  <c r="Q19" i="2"/>
  <c r="R19" i="2" s="1"/>
  <c r="H19" i="3" s="1"/>
  <c r="P13" i="2"/>
  <c r="P21" i="2"/>
  <c r="V16" i="8"/>
  <c r="Q24" i="2"/>
  <c r="R24" i="2" s="1"/>
  <c r="H24" i="3" s="1"/>
  <c r="G17" i="4"/>
  <c r="G21" i="2"/>
  <c r="G13" i="4"/>
  <c r="M11" i="10"/>
  <c r="F12" i="8"/>
  <c r="H22" i="2"/>
  <c r="J11" i="8"/>
  <c r="K11" i="8" s="1"/>
  <c r="N11" i="8" s="1"/>
  <c r="C24" i="4"/>
  <c r="K24" i="4" s="1"/>
  <c r="L24" i="4" s="1"/>
  <c r="M24" i="4" s="1"/>
  <c r="H20" i="2"/>
  <c r="H24" i="2"/>
  <c r="K24" i="2" s="1"/>
  <c r="L24" i="2" s="1"/>
  <c r="V12" i="8"/>
  <c r="Q18" i="2"/>
  <c r="R18" i="2" s="1"/>
  <c r="H18" i="3" s="1"/>
  <c r="H22" i="10"/>
  <c r="K22" i="10" s="1"/>
  <c r="H13" i="10"/>
  <c r="K13" i="10" s="1"/>
  <c r="X13" i="10"/>
  <c r="X11" i="10" s="1"/>
  <c r="I13" i="2"/>
  <c r="D21" i="3"/>
  <c r="E9" i="12" s="1"/>
  <c r="J25" i="4"/>
  <c r="J14" i="8"/>
  <c r="K14" i="8" s="1"/>
  <c r="N14" i="8" s="1"/>
  <c r="G15" i="10"/>
  <c r="X16" i="10"/>
  <c r="X15" i="10" s="1"/>
  <c r="M15" i="10"/>
  <c r="O21" i="2"/>
  <c r="V8" i="8"/>
  <c r="D20" i="8"/>
  <c r="K19" i="12" s="1"/>
  <c r="H15" i="2"/>
  <c r="K15" i="2" s="1"/>
  <c r="D25" i="2"/>
  <c r="K11" i="12" s="1"/>
  <c r="E25" i="3"/>
  <c r="N15" i="10"/>
  <c r="X20" i="10"/>
  <c r="X19" i="10" s="1"/>
  <c r="O12" i="10"/>
  <c r="P12" i="10" s="1"/>
  <c r="F25" i="3"/>
  <c r="D23" i="10"/>
  <c r="H12" i="10"/>
  <c r="K12" i="10" s="1"/>
  <c r="G11" i="10"/>
  <c r="K16" i="10"/>
  <c r="K21" i="10"/>
  <c r="J13" i="2"/>
  <c r="O14" i="10"/>
  <c r="P14" i="10" s="1"/>
  <c r="W10" i="8"/>
  <c r="X10" i="8" s="1"/>
  <c r="N19" i="10"/>
  <c r="K20" i="10"/>
  <c r="Q14" i="2"/>
  <c r="O13" i="2"/>
  <c r="C18" i="4"/>
  <c r="D17" i="3"/>
  <c r="E7" i="12" s="1"/>
  <c r="E16" i="5"/>
  <c r="C14" i="5"/>
  <c r="F8" i="8"/>
  <c r="G13" i="2"/>
  <c r="J22" i="2"/>
  <c r="I21" i="2"/>
  <c r="G18" i="3"/>
  <c r="E18" i="4"/>
  <c r="D19" i="5"/>
  <c r="E19" i="5"/>
  <c r="C18" i="5"/>
  <c r="C22" i="5"/>
  <c r="J20" i="2"/>
  <c r="I17" i="2"/>
  <c r="S17" i="2"/>
  <c r="E129" i="1" s="1"/>
  <c r="H19" i="2"/>
  <c r="G17" i="2"/>
  <c r="G21" i="4"/>
  <c r="S13" i="2"/>
  <c r="E127" i="1" s="1"/>
  <c r="H16" i="2"/>
  <c r="K16" i="2" s="1"/>
  <c r="L16" i="2" s="1"/>
  <c r="F16" i="8"/>
  <c r="T20" i="10"/>
  <c r="T17" i="10"/>
  <c r="U17" i="10" s="1"/>
  <c r="V17" i="10" s="1"/>
  <c r="T14" i="10"/>
  <c r="U14" i="10" s="1"/>
  <c r="V14" i="10" s="1"/>
  <c r="T16" i="10"/>
  <c r="U16" i="10" s="1"/>
  <c r="T13" i="10"/>
  <c r="U13" i="10" s="1"/>
  <c r="V13" i="10" s="1"/>
  <c r="T22" i="10"/>
  <c r="U22" i="10" s="1"/>
  <c r="V22" i="10" s="1"/>
  <c r="T12" i="10"/>
  <c r="U12" i="10" s="1"/>
  <c r="T21" i="10"/>
  <c r="U21" i="10" s="1"/>
  <c r="V21" i="10" s="1"/>
  <c r="T18" i="10"/>
  <c r="U18" i="10" s="1"/>
  <c r="V18" i="10" s="1"/>
  <c r="S21" i="2"/>
  <c r="K127" i="1" s="1"/>
  <c r="T20" i="8"/>
  <c r="W13" i="8"/>
  <c r="W17" i="8"/>
  <c r="H14" i="2"/>
  <c r="J14" i="10"/>
  <c r="K14" i="10" s="1"/>
  <c r="W13" i="10"/>
  <c r="W14" i="10"/>
  <c r="W19" i="10"/>
  <c r="K9" i="8" l="1"/>
  <c r="J9" i="8"/>
  <c r="S23" i="10"/>
  <c r="P18" i="10"/>
  <c r="Q20" i="10"/>
  <c r="H15" i="10"/>
  <c r="Q22" i="10"/>
  <c r="Y22" i="10" s="1"/>
  <c r="K18" i="10"/>
  <c r="G23" i="10"/>
  <c r="P21" i="10"/>
  <c r="Y21" i="10" s="1"/>
  <c r="Q16" i="10"/>
  <c r="H19" i="10"/>
  <c r="L15" i="2"/>
  <c r="M15" i="2" s="1"/>
  <c r="U20" i="8"/>
  <c r="Q15" i="8"/>
  <c r="E47" i="12"/>
  <c r="E57" i="12" s="1"/>
  <c r="E49" i="12"/>
  <c r="E59" i="12" s="1"/>
  <c r="K47" i="12"/>
  <c r="K57" i="12" s="1"/>
  <c r="G15" i="3"/>
  <c r="I15" i="3" s="1"/>
  <c r="J15" i="3" s="1"/>
  <c r="D24" i="5"/>
  <c r="O25" i="2"/>
  <c r="H16" i="3"/>
  <c r="K5" i="12"/>
  <c r="Q19" i="8"/>
  <c r="R19" i="8" s="1"/>
  <c r="S19" i="8" s="1"/>
  <c r="Q21" i="2"/>
  <c r="N18" i="8"/>
  <c r="R18" i="8" s="1"/>
  <c r="S18" i="8" s="1"/>
  <c r="D25" i="3"/>
  <c r="E23" i="4"/>
  <c r="F23" i="4" s="1"/>
  <c r="H23" i="4" s="1"/>
  <c r="I23" i="4" s="1"/>
  <c r="F24" i="5" s="1"/>
  <c r="G24" i="5" s="1"/>
  <c r="G25" i="4"/>
  <c r="G23" i="3"/>
  <c r="I23" i="3" s="1"/>
  <c r="J23" i="3" s="1"/>
  <c r="Q23" i="3" s="1"/>
  <c r="E15" i="4"/>
  <c r="F15" i="4" s="1"/>
  <c r="H15" i="4" s="1"/>
  <c r="I15" i="4" s="1"/>
  <c r="F16" i="5" s="1"/>
  <c r="G16" i="5" s="1"/>
  <c r="P17" i="10"/>
  <c r="Q17" i="10"/>
  <c r="P13" i="10"/>
  <c r="Q13" i="10"/>
  <c r="Q14" i="10"/>
  <c r="Y14" i="10" s="1"/>
  <c r="V20" i="8"/>
  <c r="R15" i="8"/>
  <c r="S15" i="8" s="1"/>
  <c r="O19" i="10"/>
  <c r="P25" i="2"/>
  <c r="D16" i="5"/>
  <c r="O15" i="10"/>
  <c r="Q14" i="8"/>
  <c r="R14" i="8" s="1"/>
  <c r="S14" i="8" s="1"/>
  <c r="Q17" i="2"/>
  <c r="I18" i="3"/>
  <c r="J18" i="3" s="1"/>
  <c r="L18" i="3" s="1"/>
  <c r="M18" i="3" s="1"/>
  <c r="X23" i="10"/>
  <c r="C21" i="4"/>
  <c r="Q11" i="8"/>
  <c r="R21" i="2"/>
  <c r="H21" i="3"/>
  <c r="N23" i="10"/>
  <c r="E24" i="4"/>
  <c r="F24" i="4" s="1"/>
  <c r="H24" i="4" s="1"/>
  <c r="I24" i="4" s="1"/>
  <c r="F25" i="5" s="1"/>
  <c r="G25" i="5" s="1"/>
  <c r="G24" i="3"/>
  <c r="D25" i="5"/>
  <c r="M23" i="10"/>
  <c r="O11" i="10"/>
  <c r="Q12" i="10"/>
  <c r="W15" i="10"/>
  <c r="H11" i="10"/>
  <c r="K129" i="1"/>
  <c r="S25" i="2"/>
  <c r="H21" i="2"/>
  <c r="K19" i="2"/>
  <c r="L19" i="2" s="1"/>
  <c r="H17" i="2"/>
  <c r="K19" i="10"/>
  <c r="X13" i="8"/>
  <c r="W12" i="8"/>
  <c r="X8" i="8"/>
  <c r="J10" i="8"/>
  <c r="H13" i="2"/>
  <c r="K14" i="2"/>
  <c r="L14" i="2" s="1"/>
  <c r="F20" i="8"/>
  <c r="X17" i="8"/>
  <c r="W16" i="8"/>
  <c r="V16" i="10"/>
  <c r="U15" i="10"/>
  <c r="V12" i="10"/>
  <c r="V11" i="10" s="1"/>
  <c r="U11" i="10"/>
  <c r="C26" i="5"/>
  <c r="E18" i="5"/>
  <c r="E14" i="5"/>
  <c r="K18" i="4"/>
  <c r="C17" i="4"/>
  <c r="F18" i="4"/>
  <c r="W8" i="8"/>
  <c r="J21" i="2"/>
  <c r="K22" i="2"/>
  <c r="L22" i="2" s="1"/>
  <c r="W11" i="10"/>
  <c r="T11" i="10"/>
  <c r="T15" i="10"/>
  <c r="T19" i="10"/>
  <c r="U20" i="10"/>
  <c r="E16" i="4"/>
  <c r="F16" i="4" s="1"/>
  <c r="H16" i="4" s="1"/>
  <c r="I16" i="4" s="1"/>
  <c r="F17" i="5" s="1"/>
  <c r="G17" i="5" s="1"/>
  <c r="D17" i="5"/>
  <c r="G16" i="3"/>
  <c r="G25" i="2"/>
  <c r="K20" i="2"/>
  <c r="L20" i="2" s="1"/>
  <c r="J17" i="2"/>
  <c r="E22" i="5"/>
  <c r="C13" i="4"/>
  <c r="I25" i="2"/>
  <c r="R14" i="2"/>
  <c r="Q13" i="2"/>
  <c r="R17" i="2"/>
  <c r="E118" i="1" s="1"/>
  <c r="O9" i="8" l="1"/>
  <c r="Q9" i="8"/>
  <c r="M9" i="8"/>
  <c r="M8" i="8" s="1"/>
  <c r="M20" i="8" s="1"/>
  <c r="Y18" i="10"/>
  <c r="W23" i="10"/>
  <c r="H23" i="10"/>
  <c r="Q19" i="10"/>
  <c r="Y17" i="10"/>
  <c r="K59" i="12"/>
  <c r="K49" i="12"/>
  <c r="Y13" i="10"/>
  <c r="E118" i="12"/>
  <c r="E116" i="12"/>
  <c r="Q25" i="2"/>
  <c r="E114" i="12"/>
  <c r="C25" i="4"/>
  <c r="P19" i="10"/>
  <c r="Q15" i="10"/>
  <c r="P11" i="10"/>
  <c r="P15" i="10"/>
  <c r="Y12" i="10"/>
  <c r="O23" i="10"/>
  <c r="Q11" i="10"/>
  <c r="I24" i="3"/>
  <c r="J24" i="3" s="1"/>
  <c r="Q24" i="3" s="1"/>
  <c r="R11" i="8"/>
  <c r="S11" i="8" s="1"/>
  <c r="K11" i="10"/>
  <c r="T23" i="10"/>
  <c r="K15" i="10"/>
  <c r="E26" i="5"/>
  <c r="L13" i="4"/>
  <c r="E106" i="12" s="1"/>
  <c r="W20" i="8"/>
  <c r="V15" i="10"/>
  <c r="Y16" i="10"/>
  <c r="J17" i="8"/>
  <c r="X16" i="8"/>
  <c r="H17" i="3"/>
  <c r="M21" i="4"/>
  <c r="L21" i="4"/>
  <c r="E110" i="12" s="1"/>
  <c r="Q15" i="3"/>
  <c r="J25" i="2"/>
  <c r="G19" i="3"/>
  <c r="K17" i="2"/>
  <c r="L17" i="2" s="1"/>
  <c r="D20" i="5"/>
  <c r="E19" i="4"/>
  <c r="Q18" i="3"/>
  <c r="E20" i="4"/>
  <c r="F20" i="4" s="1"/>
  <c r="H20" i="4" s="1"/>
  <c r="I20" i="4" s="1"/>
  <c r="G20" i="3"/>
  <c r="D21" i="5"/>
  <c r="I16" i="3"/>
  <c r="J16" i="3" s="1"/>
  <c r="L16" i="3" s="1"/>
  <c r="M16" i="3" s="1"/>
  <c r="U19" i="10"/>
  <c r="U23" i="10" s="1"/>
  <c r="V20" i="10"/>
  <c r="X12" i="8"/>
  <c r="J13" i="8"/>
  <c r="K21" i="4"/>
  <c r="E22" i="4"/>
  <c r="K21" i="2"/>
  <c r="L21" i="2" s="1"/>
  <c r="G22" i="3"/>
  <c r="D23" i="5"/>
  <c r="H18" i="4"/>
  <c r="R13" i="2"/>
  <c r="R25" i="2" s="1"/>
  <c r="H14" i="3"/>
  <c r="H13" i="3" s="1"/>
  <c r="L23" i="3"/>
  <c r="M23" i="3" s="1"/>
  <c r="K13" i="4"/>
  <c r="L15" i="3"/>
  <c r="M15" i="3" s="1"/>
  <c r="L18" i="4"/>
  <c r="K17" i="4"/>
  <c r="D15" i="5"/>
  <c r="D14" i="5" s="1"/>
  <c r="E14" i="4"/>
  <c r="K13" i="2"/>
  <c r="G14" i="3"/>
  <c r="K10" i="8"/>
  <c r="N10" i="8" s="1"/>
  <c r="J8" i="8"/>
  <c r="H25" i="2"/>
  <c r="N9" i="8" l="1"/>
  <c r="R9" i="8" s="1"/>
  <c r="S9" i="8" s="1"/>
  <c r="N16" i="3"/>
  <c r="K20" i="3" s="1"/>
  <c r="O16" i="3"/>
  <c r="M16" i="2" s="1"/>
  <c r="Y11" i="10"/>
  <c r="E132" i="1" s="1"/>
  <c r="K114" i="12"/>
  <c r="P23" i="10"/>
  <c r="Q23" i="10"/>
  <c r="K23" i="10"/>
  <c r="L24" i="3"/>
  <c r="M24" i="3" s="1"/>
  <c r="D18" i="5"/>
  <c r="Y15" i="10"/>
  <c r="E134" i="1" s="1"/>
  <c r="D22" i="5"/>
  <c r="K8" i="8"/>
  <c r="Q10" i="8"/>
  <c r="N15" i="3"/>
  <c r="O15" i="3"/>
  <c r="K25" i="4"/>
  <c r="E13" i="4"/>
  <c r="F14" i="4"/>
  <c r="M18" i="4"/>
  <c r="L17" i="4"/>
  <c r="E108" i="12" s="1"/>
  <c r="K106" i="12" s="1"/>
  <c r="I18" i="4"/>
  <c r="G21" i="3"/>
  <c r="I22" i="3"/>
  <c r="J12" i="8"/>
  <c r="K13" i="8"/>
  <c r="I20" i="3"/>
  <c r="J20" i="3" s="1"/>
  <c r="Q20" i="3" s="1"/>
  <c r="E116" i="1"/>
  <c r="X20" i="8"/>
  <c r="K116" i="1"/>
  <c r="M13" i="4"/>
  <c r="E110" i="1" s="1"/>
  <c r="Q16" i="3"/>
  <c r="I14" i="3"/>
  <c r="G13" i="3"/>
  <c r="K25" i="2"/>
  <c r="L25" i="2" s="1"/>
  <c r="V19" i="10"/>
  <c r="V23" i="10" s="1"/>
  <c r="Y20" i="10"/>
  <c r="Y19" i="10" s="1"/>
  <c r="F21" i="5"/>
  <c r="G21" i="5" s="1"/>
  <c r="F19" i="4"/>
  <c r="E17" i="4"/>
  <c r="I19" i="3"/>
  <c r="G17" i="3"/>
  <c r="H25" i="3"/>
  <c r="K17" i="8"/>
  <c r="J16" i="8"/>
  <c r="E21" i="4"/>
  <c r="F22" i="4"/>
  <c r="K110" i="1"/>
  <c r="D26" i="5" l="1"/>
  <c r="L25" i="4"/>
  <c r="E25" i="4"/>
  <c r="J20" i="8"/>
  <c r="L20" i="3"/>
  <c r="M20" i="3" s="1"/>
  <c r="H22" i="4"/>
  <c r="F21" i="4"/>
  <c r="H19" i="4"/>
  <c r="F17" i="4"/>
  <c r="K132" i="1"/>
  <c r="K134" i="1" s="1"/>
  <c r="Y23" i="10"/>
  <c r="J14" i="3"/>
  <c r="I13" i="3"/>
  <c r="I21" i="3"/>
  <c r="J22" i="3"/>
  <c r="F19" i="5"/>
  <c r="M17" i="4"/>
  <c r="R16" i="3"/>
  <c r="S16" i="3" s="1"/>
  <c r="P20" i="3" s="1"/>
  <c r="J19" i="3"/>
  <c r="I17" i="3"/>
  <c r="Q8" i="8"/>
  <c r="Q17" i="8"/>
  <c r="Q16" i="8" s="1"/>
  <c r="K16" i="8"/>
  <c r="N13" i="8"/>
  <c r="K12" i="8"/>
  <c r="Q13" i="8"/>
  <c r="G25" i="3"/>
  <c r="F13" i="4"/>
  <c r="H14" i="4"/>
  <c r="K118" i="1"/>
  <c r="R15" i="3"/>
  <c r="K19" i="3"/>
  <c r="R10" i="8"/>
  <c r="R8" i="8" s="1"/>
  <c r="N8" i="8"/>
  <c r="N20" i="3" l="1"/>
  <c r="K24" i="3" s="1"/>
  <c r="O20" i="3"/>
  <c r="M20" i="2" s="1"/>
  <c r="Q22" i="3"/>
  <c r="Q21" i="3" s="1"/>
  <c r="J21" i="3"/>
  <c r="K24" i="12" s="1"/>
  <c r="L22" i="3"/>
  <c r="I19" i="4"/>
  <c r="H17" i="4"/>
  <c r="E91" i="12" s="1"/>
  <c r="S10" i="8"/>
  <c r="S8" i="8" s="1"/>
  <c r="Q19" i="3"/>
  <c r="Q17" i="3" s="1"/>
  <c r="E26" i="12" s="1"/>
  <c r="E42" i="12" s="1"/>
  <c r="J17" i="3"/>
  <c r="L19" i="3"/>
  <c r="E112" i="1"/>
  <c r="K112" i="1" s="1"/>
  <c r="M25" i="4"/>
  <c r="I25" i="3"/>
  <c r="F25" i="4"/>
  <c r="S15" i="3"/>
  <c r="P19" i="3" s="1"/>
  <c r="I14" i="4"/>
  <c r="H13" i="4"/>
  <c r="E89" i="12" s="1"/>
  <c r="L17" i="8"/>
  <c r="R13" i="8"/>
  <c r="R12" i="8" s="1"/>
  <c r="N12" i="8"/>
  <c r="Q12" i="8"/>
  <c r="Q20" i="8" s="1"/>
  <c r="H21" i="4"/>
  <c r="E93" i="12" s="1"/>
  <c r="I22" i="4"/>
  <c r="K20" i="8"/>
  <c r="G19" i="5"/>
  <c r="Q14" i="3"/>
  <c r="J13" i="3"/>
  <c r="L14" i="3"/>
  <c r="M14" i="3" s="1"/>
  <c r="M13" i="3" s="1"/>
  <c r="E35" i="12" s="1"/>
  <c r="L21" i="3" l="1"/>
  <c r="M22" i="3"/>
  <c r="M21" i="3" s="1"/>
  <c r="L17" i="3"/>
  <c r="M19" i="3"/>
  <c r="M17" i="3" s="1"/>
  <c r="E37" i="12" s="1"/>
  <c r="R20" i="3"/>
  <c r="S20" i="3" s="1"/>
  <c r="P24" i="3" s="1"/>
  <c r="N24" i="3"/>
  <c r="O24" i="3"/>
  <c r="M24" i="2" s="1"/>
  <c r="K89" i="12"/>
  <c r="K40" i="12"/>
  <c r="S13" i="8"/>
  <c r="S12" i="8" s="1"/>
  <c r="O14" i="3"/>
  <c r="L13" i="3"/>
  <c r="N14" i="3"/>
  <c r="O17" i="8"/>
  <c r="O16" i="8" s="1"/>
  <c r="O20" i="8" s="1"/>
  <c r="L16" i="8"/>
  <c r="N17" i="8"/>
  <c r="Q13" i="3"/>
  <c r="E24" i="12" s="1"/>
  <c r="E40" i="12" s="1"/>
  <c r="H25" i="4"/>
  <c r="F20" i="5"/>
  <c r="I17" i="4"/>
  <c r="E101" i="1" s="1"/>
  <c r="F23" i="5"/>
  <c r="I21" i="4"/>
  <c r="F15" i="5"/>
  <c r="I13" i="4"/>
  <c r="E99" i="1" s="1"/>
  <c r="J25" i="3"/>
  <c r="L25" i="3" l="1"/>
  <c r="N19" i="3"/>
  <c r="R19" i="3" s="1"/>
  <c r="S19" i="3" s="1"/>
  <c r="P23" i="3" s="1"/>
  <c r="K35" i="12"/>
  <c r="K37" i="12" s="1"/>
  <c r="M25" i="3"/>
  <c r="O19" i="3"/>
  <c r="M19" i="2" s="1"/>
  <c r="R24" i="3"/>
  <c r="S24" i="3" s="1"/>
  <c r="Q25" i="3"/>
  <c r="K26" i="12"/>
  <c r="K42" i="12"/>
  <c r="P17" i="8"/>
  <c r="R17" i="8" s="1"/>
  <c r="S17" i="8" s="1"/>
  <c r="S16" i="8" s="1"/>
  <c r="S20" i="8" s="1"/>
  <c r="K99" i="1"/>
  <c r="K101" i="1" s="1"/>
  <c r="I25" i="4"/>
  <c r="N16" i="8"/>
  <c r="N20" i="8" s="1"/>
  <c r="G15" i="5"/>
  <c r="F14" i="5"/>
  <c r="G23" i="5"/>
  <c r="G22" i="5" s="1"/>
  <c r="F22" i="5"/>
  <c r="G20" i="5"/>
  <c r="G18" i="5" s="1"/>
  <c r="F18" i="5"/>
  <c r="N13" i="3"/>
  <c r="R14" i="3"/>
  <c r="K18" i="3"/>
  <c r="K23" i="3" l="1"/>
  <c r="O23" i="3" s="1"/>
  <c r="M23" i="2" s="1"/>
  <c r="L13" i="2"/>
  <c r="E66" i="1" s="1"/>
  <c r="M14" i="2"/>
  <c r="M13" i="2" s="1"/>
  <c r="P16" i="8"/>
  <c r="P20" i="8" s="1"/>
  <c r="N23" i="3"/>
  <c r="R23" i="3" s="1"/>
  <c r="N18" i="3"/>
  <c r="K17" i="3"/>
  <c r="O18" i="3"/>
  <c r="R13" i="3"/>
  <c r="E59" i="1" s="1"/>
  <c r="S14" i="3"/>
  <c r="F26" i="5"/>
  <c r="K94" i="1"/>
  <c r="G14" i="5"/>
  <c r="E94" i="1" s="1"/>
  <c r="R16" i="8"/>
  <c r="R20" i="8" s="1"/>
  <c r="E96" i="1"/>
  <c r="S23" i="3" l="1"/>
  <c r="G26" i="5"/>
  <c r="K96" i="1"/>
  <c r="S13" i="3"/>
  <c r="P18" i="3"/>
  <c r="R18" i="3" s="1"/>
  <c r="N17" i="3"/>
  <c r="K22" i="3"/>
  <c r="M18" i="2" l="1"/>
  <c r="M17" i="2" s="1"/>
  <c r="R17" i="3"/>
  <c r="E61" i="1" s="1"/>
  <c r="P17" i="3"/>
  <c r="S18" i="3"/>
  <c r="N22" i="3"/>
  <c r="O22" i="3"/>
  <c r="K21" i="3"/>
  <c r="E68" i="1"/>
  <c r="P22" i="3" l="1"/>
  <c r="R22" i="3" s="1"/>
  <c r="S17" i="3"/>
  <c r="N21" i="3"/>
  <c r="N25" i="3" s="1"/>
  <c r="K28" i="12" s="1"/>
  <c r="M22" i="2" l="1"/>
  <c r="M21" i="2" s="1"/>
  <c r="M25" i="2" s="1"/>
  <c r="R21" i="3"/>
  <c r="S22" i="3"/>
  <c r="S21" i="3" s="1"/>
  <c r="S25" i="3" s="1"/>
  <c r="K32" i="12" s="1"/>
  <c r="P21" i="3"/>
  <c r="E70" i="1" l="1"/>
  <c r="K66" i="1" s="1"/>
  <c r="E63" i="1"/>
  <c r="K59" i="1" s="1"/>
  <c r="R25" i="3"/>
</calcChain>
</file>

<file path=xl/comments1.xml><?xml version="1.0" encoding="utf-8"?>
<comments xmlns="http://schemas.openxmlformats.org/spreadsheetml/2006/main">
  <authors>
    <author>Чарлина Инга</author>
  </authors>
  <commentList>
    <comment ref="K96" authorId="0" shapeId="0">
      <text>
        <r>
          <rPr>
            <b/>
            <sz val="9"/>
            <color indexed="81"/>
            <rFont val="Tahoma"/>
            <family val="2"/>
            <charset val="204"/>
          </rPr>
          <t>Чарлина Инга:</t>
        </r>
        <r>
          <rPr>
            <sz val="9"/>
            <color indexed="81"/>
            <rFont val="Tahoma"/>
            <family val="2"/>
            <charset val="204"/>
          </rPr>
          <t xml:space="preserve">
В соответствии с пунктом 3 правил исчисления СО, ИП на ОУР, самостоятельно определяют сумму от полученного дохода, для исчисления СО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изменено название</t>
        </r>
      </text>
    </comment>
  </commentList>
</comments>
</file>

<file path=xl/comments3.xml><?xml version="1.0" encoding="utf-8"?>
<comments xmlns="http://schemas.openxmlformats.org/spreadsheetml/2006/main">
  <authors>
    <author>HP</author>
  </authors>
  <commentList>
    <comment ref="O6" authorId="0" shapeId="0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добавлена новая графа</t>
        </r>
      </text>
    </comment>
    <comment ref="P6" authorId="0" shapeId="0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добавлена новая графа</t>
        </r>
      </text>
    </comment>
    <comment ref="Q6" authorId="0" shapeId="0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добавлена новая графа</t>
        </r>
      </text>
    </comment>
    <comment ref="R6" authorId="0" shapeId="0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добавлена новая графа</t>
        </r>
      </text>
    </comment>
    <comment ref="S6" authorId="0" shapeId="0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добавлена новая графа</t>
        </r>
      </text>
    </comment>
  </commentList>
</comments>
</file>

<file path=xl/sharedStrings.xml><?xml version="1.0" encoding="utf-8"?>
<sst xmlns="http://schemas.openxmlformats.org/spreadsheetml/2006/main" count="667" uniqueCount="287">
  <si>
    <t>■</t>
  </si>
  <si>
    <t>Форма 200.00 Стр.01</t>
  </si>
  <si>
    <t>Прочитайте Правила составления данной формы.</t>
  </si>
  <si>
    <t>ВНИМАНИЕ! Заполнять шариковой или перьевой ручкой, ЧЕРНЫМИ или СИНИМИ чернилами, ЗАГЛАВНЫМИ ПЕЧАТНЫМИ символами.</t>
  </si>
  <si>
    <t>Раздел. Общая информация о налогоплательщике</t>
  </si>
  <si>
    <t>ИИН (БИН)</t>
  </si>
  <si>
    <t>Налоговый период, за который представляется налоговая отчетность:    квартал</t>
  </si>
  <si>
    <t xml:space="preserve">                       год</t>
  </si>
  <si>
    <t>Наименование налогового агента/Ф.И.О. вкладчика (плательщика)</t>
  </si>
  <si>
    <t>Вид декларации (укажите Х в соответствующей ячейке):</t>
  </si>
  <si>
    <t>Номер и дата уведомления (заполняется в случае представления дополнительной декларации по уведомлению):</t>
  </si>
  <si>
    <t>A</t>
  </si>
  <si>
    <t>номер</t>
  </si>
  <si>
    <t>B</t>
  </si>
  <si>
    <t>дата</t>
  </si>
  <si>
    <t>Категория налогоплательщика (укажите Х в соответствующей ячейке):</t>
  </si>
  <si>
    <t>C</t>
  </si>
  <si>
    <t>Численность работников (человек):</t>
  </si>
  <si>
    <t>1 мес.</t>
  </si>
  <si>
    <t>2 мес.</t>
  </si>
  <si>
    <t>3 мес.</t>
  </si>
  <si>
    <t>Наличие структурных подразделений (укажите Х в соответствующей ячейке):</t>
  </si>
  <si>
    <t>да</t>
  </si>
  <si>
    <t>нет</t>
  </si>
  <si>
    <t>Представленные приложения (укажите Х в соответствующей ячейке):</t>
  </si>
  <si>
    <t>Количество приложений 200.03</t>
  </si>
  <si>
    <t>Раздел. Расчетные показатели</t>
  </si>
  <si>
    <t>Код строки</t>
  </si>
  <si>
    <t>Наименование показателей</t>
  </si>
  <si>
    <t>200.00.001</t>
  </si>
  <si>
    <t>Сумма индивидуального подоходного налога, подлежащего уплате в бюджет</t>
  </si>
  <si>
    <t>I</t>
  </si>
  <si>
    <t>Итого за отчетный квартал</t>
  </si>
  <si>
    <t>IV</t>
  </si>
  <si>
    <t>II</t>
  </si>
  <si>
    <t>III</t>
  </si>
  <si>
    <t>200.00.002</t>
  </si>
  <si>
    <t>Сумма обязательных пенсионных взносов, подлежащих перечислению за работников</t>
  </si>
  <si>
    <t>200.00.003</t>
  </si>
  <si>
    <t>Сумма обязательных профессиональных пенсионных взносов, подлежащих перечислению за работников</t>
  </si>
  <si>
    <t>200.00.004</t>
  </si>
  <si>
    <t>Сумма обязательных пенсионных взносов, подлежащих перечислению в свою пользу</t>
  </si>
  <si>
    <t>200.00.005</t>
  </si>
  <si>
    <t>200.00.006</t>
  </si>
  <si>
    <t>200.00.007</t>
  </si>
  <si>
    <t>200.00.008</t>
  </si>
  <si>
    <t>Сумма социальных отчислений с доходов работников</t>
  </si>
  <si>
    <t>200.00.009</t>
  </si>
  <si>
    <t>Сумма социальных отчислений в свою пользу</t>
  </si>
  <si>
    <t>Раздел. Индивидуальный подоходный налог</t>
  </si>
  <si>
    <t>200.01.001</t>
  </si>
  <si>
    <t>Начисленные доходы</t>
  </si>
  <si>
    <t>в том числе за отчетный квартал:</t>
  </si>
  <si>
    <t>доходы работников</t>
  </si>
  <si>
    <t>200.01.002</t>
  </si>
  <si>
    <t>Сумма индивидуального подоходного налога, исчисленного с начисленных доходов</t>
  </si>
  <si>
    <t>200.01.003</t>
  </si>
  <si>
    <t>Задолженность по доходам, невыплаченным физическим лицам</t>
  </si>
  <si>
    <t>200.01.004</t>
  </si>
  <si>
    <t>Индивидуальный подоходный налог по доходам, начисленным, но не выплаченным на начало отчетного квартала</t>
  </si>
  <si>
    <t>200.01.005</t>
  </si>
  <si>
    <t>Индивидуальный подоходный налог по доходам, начисленным, но не выплаченным на конец отчетного квартала</t>
  </si>
  <si>
    <t>200.01.006</t>
  </si>
  <si>
    <t>Выплачено доходов</t>
  </si>
  <si>
    <t>Раздел. Обязательные пенсионные взносы, обязательные профессиональные пенсионные взносы</t>
  </si>
  <si>
    <t>200.01.007</t>
  </si>
  <si>
    <t>Начисленные доходы, с которых удерживаются (начисляются) обязательные пенсионные взносы</t>
  </si>
  <si>
    <t>200.01.008</t>
  </si>
  <si>
    <t>Начисленные доходы, с которых удерживаются (начисляются) обязательные профессиональные пенсионные взносы</t>
  </si>
  <si>
    <t>200.01.009</t>
  </si>
  <si>
    <t>Заявленный доход в свою пользу</t>
  </si>
  <si>
    <t>200.01.010</t>
  </si>
  <si>
    <t>2мес.</t>
  </si>
  <si>
    <t>200.01.011</t>
  </si>
  <si>
    <t>200.01.012</t>
  </si>
  <si>
    <t>200.01.013</t>
  </si>
  <si>
    <t>Доходы работника, облагаемые социальным налогом</t>
  </si>
  <si>
    <t>Раздел. Социальные отчисления</t>
  </si>
  <si>
    <t>200.01.014</t>
  </si>
  <si>
    <t>Доходы физических лиц, с которых исчисляются социальные отчисления</t>
  </si>
  <si>
    <t>200.01.015</t>
  </si>
  <si>
    <t>Доход, с которого исчисляются социальные отчисления в свою пользу</t>
  </si>
  <si>
    <t>1.</t>
  </si>
  <si>
    <t>2.</t>
  </si>
  <si>
    <t>(при их наличии)</t>
  </si>
  <si>
    <t>   3.</t>
  </si>
  <si>
    <t>   4.</t>
  </si>
  <si>
    <t>(тенге)</t>
  </si>
  <si>
    <t>№</t>
  </si>
  <si>
    <t>Ф.И.О. сотрудника</t>
  </si>
  <si>
    <t>Должность сотрудника</t>
  </si>
  <si>
    <t>Доход сотрудника за отчетный период</t>
  </si>
  <si>
    <t xml:space="preserve">Доход сотрудника с которого не удерживаются ОПВ </t>
  </si>
  <si>
    <t>Доход  сотрудника с которого удерживаются ОПВ</t>
  </si>
  <si>
    <t>Предел в размере 75-кратного МЗП</t>
  </si>
  <si>
    <t>Сумма ОПВ, с предельной суммы дохода</t>
  </si>
  <si>
    <t>_______________________________________________________________________________________</t>
  </si>
  <si>
    <t>(Ф.И.О., подпись руководителя (налогоплательщика), печать)</t>
  </si>
  <si>
    <t>РНН</t>
  </si>
  <si>
    <t xml:space="preserve">ИИН/БИН </t>
  </si>
  <si>
    <t>Ф.И.О. или наименование налогоплательщика</t>
  </si>
  <si>
    <r>
      <t xml:space="preserve">Налоговый период (квартал) </t>
    </r>
    <r>
      <rPr>
        <b/>
        <sz val="10"/>
        <rFont val="Times New Roman"/>
        <family val="1"/>
        <charset val="204"/>
      </rPr>
      <t/>
    </r>
  </si>
  <si>
    <t>квартал</t>
  </si>
  <si>
    <t>год</t>
  </si>
  <si>
    <t>Сумма исчисленного ОПВ</t>
  </si>
  <si>
    <t>Удельный вес выплаченных доходов к доходам, причитающимся к выплате</t>
  </si>
  <si>
    <t>Сумма ОПВ в НПФ, подлежащая перечислению за работников</t>
  </si>
  <si>
    <t>№ п/п</t>
  </si>
  <si>
    <t>Наименование</t>
  </si>
  <si>
    <t>ИИН</t>
  </si>
  <si>
    <t>Начислено доходов</t>
  </si>
  <si>
    <t>Налоговые вычеты</t>
  </si>
  <si>
    <t>ОПВ</t>
  </si>
  <si>
    <t>Доходы, облагаемые ИПН</t>
  </si>
  <si>
    <t>ИПН</t>
  </si>
  <si>
    <t>Выплаченные доходы</t>
  </si>
  <si>
    <t>Расчет суммы ИПН, подлежащей перечислению</t>
  </si>
  <si>
    <t>Задолженность по невыплаченным доходам на начало месяца</t>
  </si>
  <si>
    <t>Доход к выплате за отчетный месяц</t>
  </si>
  <si>
    <t>Задолженность по невыплаченным доходам на конец месяца</t>
  </si>
  <si>
    <t>Задолженность по ИПН на начало месяца</t>
  </si>
  <si>
    <t>Начислено ИПН за отчетный месяц</t>
  </si>
  <si>
    <t>Сумма ИПН, подлежащего перечислению</t>
  </si>
  <si>
    <t>Задолженность по ИПН на конец месяца</t>
  </si>
  <si>
    <t>Сумма исчисленного социального налога</t>
  </si>
  <si>
    <t xml:space="preserve">Сумма исчисленных социальных отчислений </t>
  </si>
  <si>
    <t xml:space="preserve">Сумма исчисленного социального налога,  подлежащего перечислению в бюджет </t>
  </si>
  <si>
    <t>Доход сотрудника  с которого удерживаются соцотчисления</t>
  </si>
  <si>
    <t>Начисленные доходы, с которых исчисляются социальные отчисления</t>
  </si>
  <si>
    <t>Сумма социальных отчислений за отчетный период</t>
  </si>
  <si>
    <t>гр.5-гр.6</t>
  </si>
  <si>
    <t>Доход сотрудника с которого не удерживаются соцотчисления, кроме ОПВ</t>
  </si>
  <si>
    <t>Максимальный размер ежемесячного дохода, принимаемого для исчисления соцотчислений</t>
  </si>
  <si>
    <t>тенге</t>
  </si>
  <si>
    <t>1 МРП</t>
  </si>
  <si>
    <t>200.00.010</t>
  </si>
  <si>
    <t>Сумма отчислений на обязательное социальное медицинское страхование</t>
  </si>
  <si>
    <t>200.00.011</t>
  </si>
  <si>
    <t>Сумма взносов на обязательное социальное медицинское страхование</t>
  </si>
  <si>
    <t>Доход сотрудника  с которого исчисляются ОСМС</t>
  </si>
  <si>
    <t>Доход сотрудника  с которого не исчисляются ОСМС</t>
  </si>
  <si>
    <t>Начисленные доходы, с которых исчисляются ОСМС</t>
  </si>
  <si>
    <t>Раздел. Отчисления и взносы на обязательное социальное медицинское страхование</t>
  </si>
  <si>
    <t xml:space="preserve">Доходы, с которых исчисляются отчисления на обязательное социальное медицинское страхование </t>
  </si>
  <si>
    <t>200.01.016</t>
  </si>
  <si>
    <t>200.01.017</t>
  </si>
  <si>
    <t xml:space="preserve">Доходы, с которых исчисляются взносы на обязательное социальное медицинское страхование </t>
  </si>
  <si>
    <t>Расчет  налогов по договорам ГПХ</t>
  </si>
  <si>
    <t>Ф.И.О. физического лица</t>
  </si>
  <si>
    <t>Доход физ. лица за отчетный период</t>
  </si>
  <si>
    <t>Выплачено по договорам ГПХ физ. лицам</t>
  </si>
  <si>
    <t xml:space="preserve">Задолженность по доходам, невыплаченным физическим лицам на начало периода </t>
  </si>
  <si>
    <t xml:space="preserve">Задолженность по доходам, невыплаченным физическим лицам на конец периода </t>
  </si>
  <si>
    <t>Пенсионер (если да, то нужно поставить 1)</t>
  </si>
  <si>
    <t>гр.3+гр.4-гр.6</t>
  </si>
  <si>
    <t>гр.7х10%</t>
  </si>
  <si>
    <t>гр.9х 10%</t>
  </si>
  <si>
    <t>наименьшая из гр.8 или гр. 10</t>
  </si>
  <si>
    <t>гр.3+гр.11-гр.13</t>
  </si>
  <si>
    <t>Доходы физ. лица, с которого не исчисляются взносы на ОСМС (п.7 ст.28 Закона "Об ОСМС")</t>
  </si>
  <si>
    <t xml:space="preserve">ставка </t>
  </si>
  <si>
    <t>Сумма социального налога, подлежащего уплате в бюджет с применением ставок, установленных п. 1 ст.485 Налогового кодекса</t>
  </si>
  <si>
    <t>Сумма социального налога по юридическому лицу с учетом особенности, установленной ст.700 Налогового кодекса</t>
  </si>
  <si>
    <t>Сумма социального налога, подлежащего уплате в бюджет с применением ставок, установленных п. 2 ст. 485 Налогового кодекса</t>
  </si>
  <si>
    <t>Раздел. Социальный налог с применением ставок, установленных п.1 ст. 485 Налогового кодекса</t>
  </si>
  <si>
    <t>Количество приложений 200.04</t>
  </si>
  <si>
    <t>ставки</t>
  </si>
  <si>
    <t>ставка</t>
  </si>
  <si>
    <t>50хМЗП</t>
  </si>
  <si>
    <t>ДЕКЛАРАЦИЯ ПО ИНДИВИДУАЛЬНОМУ ПОДОХОДНОМУ НАЛОГУ И СОЦИАЛЬНОМУ НАЛОГУ</t>
  </si>
  <si>
    <t>доверительный управляющий в соответствии со статьей 40 Налогового кодекса</t>
  </si>
  <si>
    <t>налогоплательщик, применяющий специальный налоговый режим для производства сельскохозяйственной продукции и сельскохозяйственных кооперативов в соответствии со статьей 355 Налогового кодекса</t>
  </si>
  <si>
    <t>D</t>
  </si>
  <si>
    <t>E</t>
  </si>
  <si>
    <t>F</t>
  </si>
  <si>
    <t>учредитель доверительного управления в соответствии со статьей 40 Налогового кодекса</t>
  </si>
  <si>
    <t xml:space="preserve">Признак резидентства </t>
  </si>
  <si>
    <t>резидент</t>
  </si>
  <si>
    <t>нерезидент</t>
  </si>
  <si>
    <t>С</t>
  </si>
  <si>
    <t>ИИН физического лица</t>
  </si>
  <si>
    <t>Корректировка дохода, согласно пункта 1 статьи 341 НК</t>
  </si>
  <si>
    <t>Налоговые вычеты, согласно подпункта 2,3 пункта 1 статьи 346 Налогового кодекса</t>
  </si>
  <si>
    <t>Корректировка доходов и доходы, не подлежащие налогообложению ИПН, кроме ОПВ</t>
  </si>
  <si>
    <t>Облагаемый доход физ. лица</t>
  </si>
  <si>
    <t>Доходы, с которых не удерживаются взносы ОСМС</t>
  </si>
  <si>
    <t>Доходы, с которых удерживаются взносы ОСМС</t>
  </si>
  <si>
    <t>Максимальный доход для взносов ОСМС</t>
  </si>
  <si>
    <t>Доходы, с которых исчисляются взносы на ОСМС</t>
  </si>
  <si>
    <t>Взносы ОСМС</t>
  </si>
  <si>
    <t>10МЗП</t>
  </si>
  <si>
    <t>гр.4-гр.15</t>
  </si>
  <si>
    <t>min гр.16/гр.17</t>
  </si>
  <si>
    <t>выигрыши</t>
  </si>
  <si>
    <t>дивиденды</t>
  </si>
  <si>
    <t>вознаграждения</t>
  </si>
  <si>
    <t>доходы ФЛ по договорам ГПХ</t>
  </si>
  <si>
    <t>Доходы работников, освобожденных от налогообложения в рамках МФЦА</t>
  </si>
  <si>
    <t>Взносы по ОСМС</t>
  </si>
  <si>
    <t>Облагаемый доход</t>
  </si>
  <si>
    <t>200.01.018</t>
  </si>
  <si>
    <t>200.00.012</t>
  </si>
  <si>
    <t>Сумма взносов на обязательное социальное медицинское страхование в свою пользу</t>
  </si>
  <si>
    <t>200.01.019</t>
  </si>
  <si>
    <t>200.01.020</t>
  </si>
  <si>
    <t>Доходы, с которых исчисляются взносы на обязательное социальное медицинское страхование в свою пользу</t>
  </si>
  <si>
    <t>гр.18*2%</t>
  </si>
  <si>
    <t>налогоплательщик, применяющий специальный налоговый режим с использованием фиксированного вычета</t>
  </si>
  <si>
    <t>налогоплательщик, применяющий специальный налоговый режим на основе патента</t>
  </si>
  <si>
    <t>в том числе иностранцев и лиц без гражданства</t>
  </si>
  <si>
    <t>Раздел. Численность и расходы по оплате труда работников-лиц с инвалидностью</t>
  </si>
  <si>
    <t>Численность работников-лиц с инвалидностью</t>
  </si>
  <si>
    <t>Удельный вес численности работников-лиц с инвалидностью в общей численности работников, %</t>
  </si>
  <si>
    <t>Удельный вес расходов по оплате труда работников-лиц с инвалидностью в общих расходах по оплате труда, %</t>
  </si>
  <si>
    <t>плательщик единого платежа в соответствии со статьей 776-1 Налогового кодекса</t>
  </si>
  <si>
    <t>Участник МФЦА в соответствии с Конституционным законом РК "О МФЦА"</t>
  </si>
  <si>
    <t>Код валюты</t>
  </si>
  <si>
    <t>KZT</t>
  </si>
  <si>
    <t>200.00.013</t>
  </si>
  <si>
    <t>200.00.014</t>
  </si>
  <si>
    <t>Сумма обязательных пенсионных взносов работодателя</t>
  </si>
  <si>
    <t>Сумма единого платежа с доходов работников, подлежащих перечислению</t>
  </si>
  <si>
    <t>Начисленные доходы, с которых исчисляются (начисляются) обязательные пенсионные взносы работодателя</t>
  </si>
  <si>
    <t>200.01.021</t>
  </si>
  <si>
    <t>ОПВ работодателя, исчисленные</t>
  </si>
  <si>
    <t>гр.7*0%</t>
  </si>
  <si>
    <t>Сумма задолженности по ОПВ на начало месяца</t>
  </si>
  <si>
    <t>Сумма задолженности по ОПВ на конец месяца</t>
  </si>
  <si>
    <t>Сумма исчисленных ОПВ в ЕНПФ</t>
  </si>
  <si>
    <t>Доходы, с которых не удерживаются взносы и отчисления ОСМС</t>
  </si>
  <si>
    <t>Отчисления ОСМС</t>
  </si>
  <si>
    <t>Доходы, с которых не удерживаются СО</t>
  </si>
  <si>
    <t>Доходы, с которых удерживаются СО</t>
  </si>
  <si>
    <t>Максимальный доход для СО</t>
  </si>
  <si>
    <t>Доходы, с которых исчисляются СО</t>
  </si>
  <si>
    <t>СО</t>
  </si>
  <si>
    <t>Единый платеж итого</t>
  </si>
  <si>
    <t>гр.3-гр.5</t>
  </si>
  <si>
    <t>гр.6х20%х50%</t>
  </si>
  <si>
    <t>гр.8х 10%</t>
  </si>
  <si>
    <t>наименьшая из гр.7 или гр.9</t>
  </si>
  <si>
    <t>гр.3-гр.11</t>
  </si>
  <si>
    <t>10 МЗП</t>
  </si>
  <si>
    <t>min гр.12/гр.13</t>
  </si>
  <si>
    <t>гр.3-гр.16</t>
  </si>
  <si>
    <t>7 МЗП</t>
  </si>
  <si>
    <t>min гр.17/гр.18</t>
  </si>
  <si>
    <t>для ИП указывается численность</t>
  </si>
  <si>
    <t>работников включая самого ИП</t>
  </si>
  <si>
    <t>ИП Базаев АА</t>
  </si>
  <si>
    <t>ИСЧИСЛЕНИЕ ИНДИВИДУАЛЬНОГО ПОДОХОДНОГО НАЛОГА И СОЦИАЛЬНОГО НАЛОГА, ОБЯЗАТЕЛЬНЫХ ПЕНСИОННЫХ ВЗНОСОВ, ОБЯЗАТЕЛЬНЫХ ПРОФЕССИОНАЛЬНЫХ ПЕНСИОННЫХ ВЗНОСОВ, СОЦИАЛЬНЫХ ОТЧИСЛЕНИЙ, ОТЧИСЛЕНИЙ И (ИЛИ) ВЗНОСОВ   НА ОБЯЗАТЕЛЬНОЕ СОЦИАЛЬНОЕ МЕДИЦИНСКОЕ СТРАХОВАНИЕ                                                                     (Приложение 1 к Декларации)          Форма 200.01 Стр. 01</t>
  </si>
  <si>
    <t xml:space="preserve">МЗП </t>
  </si>
  <si>
    <t>Доход для ОПВ max</t>
  </si>
  <si>
    <t>ОПВ max</t>
  </si>
  <si>
    <t>Доход для СО max</t>
  </si>
  <si>
    <t>СО max</t>
  </si>
  <si>
    <t xml:space="preserve">Доход для ОСМС max </t>
  </si>
  <si>
    <t>ОСМС max</t>
  </si>
  <si>
    <t>Месячный расчетный показатель</t>
  </si>
  <si>
    <t>Раздел. Ответственность налогоплательщика</t>
  </si>
  <si>
    <t>Я несу ответственность в соответствии с законами Республики Казахстан за достоверность и полноту сведений, приведенных в данной декларации.</t>
  </si>
  <si>
    <t xml:space="preserve">Фамилия, имя, отчество (при его наличии) руководителя/вкладчика         </t>
  </si>
  <si>
    <t>Подпись</t>
  </si>
  <si>
    <t xml:space="preserve">Дата подачи
декларации </t>
  </si>
  <si>
    <t>06.05.2024</t>
  </si>
  <si>
    <t xml:space="preserve">Код органа государственных
доходов - бенефициара
по индивидуальному
подоходному налогу и
социальному налогу </t>
  </si>
  <si>
    <t>Цифрами день, месяц, год</t>
  </si>
  <si>
    <t>Место печати 
(за исключением юридических лиц, 
относящихся к субъектам
частного предпринимательства)</t>
  </si>
  <si>
    <t>Код органа государственных
доходов - бенефициара
по социальным платежам</t>
  </si>
  <si>
    <t>январь</t>
  </si>
  <si>
    <t>февраль</t>
  </si>
  <si>
    <t>март</t>
  </si>
  <si>
    <t>Кумисбай</t>
  </si>
  <si>
    <t>Петров</t>
  </si>
  <si>
    <t>Иванов</t>
  </si>
  <si>
    <t>Итого</t>
  </si>
  <si>
    <t>Пенсионер (если да- 1)</t>
  </si>
  <si>
    <t>Сумма ОПВ</t>
  </si>
  <si>
    <t>Максимум для исчисления ОПВ 75-кратного МЗП</t>
  </si>
  <si>
    <t>Максимальный ОПВ</t>
  </si>
  <si>
    <t>Сумма начисленных ОПВ</t>
  </si>
  <si>
    <t xml:space="preserve">Расчет социального налога </t>
  </si>
  <si>
    <t>Расчет  социальных отчислений отчислений  ОСМС</t>
  </si>
  <si>
    <t xml:space="preserve">Расчет индивидуального подоходного налога </t>
  </si>
  <si>
    <t>Расчет обязательных пенсионных взносов</t>
  </si>
  <si>
    <t>Пенсионер (да= 1)</t>
  </si>
  <si>
    <t xml:space="preserve">ОПВ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</si>
</sst>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₽_-;\-* #,##0.00\ _₽_-;_-* &quot;-&quot;??\ _₽_-;_-@_-"/>
    <numFmt numFmtId="164" formatCode="_-* #,##0_р_._-;\-* #,##0_р_._-;_-* &quot;-&quot;??_р_._-;_-@_-"/>
    <numFmt numFmtId="165" formatCode="0;[Red]\-0"/>
    <numFmt numFmtId="166" formatCode="#,##0_ ;[Red]\-#,##0\ "/>
    <numFmt numFmtId="167" formatCode="0.0%"/>
    <numFmt numFmtId="168" formatCode="0.0000%"/>
    <numFmt numFmtId="169" formatCode="0.00000%"/>
  </numFmts>
  <fonts count="2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8"/>
      <name val="Arial"/>
      <family val="2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sz val="10"/>
      <color theme="1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59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7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2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6" fillId="0" borderId="0" applyFont="0" applyFill="0" applyBorder="0" applyAlignment="0" applyProtection="0"/>
    <xf numFmtId="0" fontId="3" fillId="0" borderId="0"/>
  </cellStyleXfs>
  <cellXfs count="262">
    <xf numFmtId="0" fontId="0" fillId="0" borderId="0" xfId="0"/>
    <xf numFmtId="0" fontId="8" fillId="0" borderId="0" xfId="0" applyFont="1"/>
    <xf numFmtId="0" fontId="2" fillId="0" borderId="1" xfId="0" applyFont="1" applyBorder="1" applyAlignment="1">
      <alignment horizontal="right"/>
    </xf>
    <xf numFmtId="3" fontId="2" fillId="2" borderId="1" xfId="0" applyNumberFormat="1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right" vertical="center" wrapText="1"/>
    </xf>
    <xf numFmtId="3" fontId="2" fillId="2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0" fillId="0" borderId="0" xfId="1" applyFont="1" applyFill="1" applyAlignment="1">
      <alignment horizontal="left"/>
    </xf>
    <xf numFmtId="0" fontId="10" fillId="0" borderId="0" xfId="1" applyFont="1" applyFill="1"/>
    <xf numFmtId="0" fontId="10" fillId="0" borderId="0" xfId="1" applyFont="1" applyFill="1" applyAlignment="1">
      <alignment horizontal="right"/>
    </xf>
    <xf numFmtId="0" fontId="10" fillId="0" borderId="0" xfId="0" applyFont="1" applyFill="1"/>
    <xf numFmtId="0" fontId="10" fillId="0" borderId="0" xfId="1" applyFont="1" applyFill="1" applyBorder="1"/>
    <xf numFmtId="0" fontId="10" fillId="0" borderId="11" xfId="1" applyFont="1" applyFill="1" applyBorder="1"/>
    <xf numFmtId="0" fontId="10" fillId="0" borderId="7" xfId="1" applyFont="1" applyFill="1" applyBorder="1"/>
    <xf numFmtId="0" fontId="10" fillId="0" borderId="12" xfId="1" applyFont="1" applyFill="1" applyBorder="1" applyAlignment="1">
      <alignment horizontal="center" vertical="distributed"/>
    </xf>
    <xf numFmtId="0" fontId="10" fillId="0" borderId="0" xfId="1" applyFont="1" applyFill="1" applyAlignment="1">
      <alignment vertical="center"/>
    </xf>
    <xf numFmtId="0" fontId="10" fillId="0" borderId="1" xfId="1" applyFont="1" applyFill="1" applyBorder="1"/>
    <xf numFmtId="0" fontId="10" fillId="0" borderId="0" xfId="1" applyFont="1" applyFill="1" applyAlignment="1">
      <alignment horizontal="center"/>
    </xf>
    <xf numFmtId="0" fontId="10" fillId="0" borderId="12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10" fillId="4" borderId="1" xfId="1" applyFont="1" applyFill="1" applyBorder="1"/>
    <xf numFmtId="0" fontId="2" fillId="0" borderId="9" xfId="1" applyFont="1" applyFill="1" applyBorder="1" applyAlignment="1">
      <alignment horizontal="center"/>
    </xf>
    <xf numFmtId="0" fontId="10" fillId="0" borderId="2" xfId="1" applyFont="1" applyFill="1" applyBorder="1"/>
    <xf numFmtId="0" fontId="10" fillId="0" borderId="13" xfId="1" applyFont="1" applyFill="1" applyBorder="1"/>
    <xf numFmtId="0" fontId="10" fillId="0" borderId="9" xfId="1" applyFont="1" applyFill="1" applyBorder="1"/>
    <xf numFmtId="0" fontId="10" fillId="0" borderId="0" xfId="1" applyFont="1" applyFill="1" applyAlignment="1">
      <alignment vertical="center" wrapText="1"/>
    </xf>
    <xf numFmtId="0" fontId="10" fillId="0" borderId="0" xfId="1" applyFont="1" applyFill="1" applyAlignment="1">
      <alignment horizontal="left" vertical="center" wrapText="1"/>
    </xf>
    <xf numFmtId="0" fontId="10" fillId="0" borderId="12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left"/>
    </xf>
    <xf numFmtId="3" fontId="10" fillId="0" borderId="0" xfId="1" applyNumberFormat="1" applyFont="1" applyFill="1"/>
    <xf numFmtId="0" fontId="10" fillId="0" borderId="0" xfId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2" fillId="0" borderId="0" xfId="1" applyFont="1" applyFill="1"/>
    <xf numFmtId="10" fontId="2" fillId="0" borderId="0" xfId="1" applyNumberFormat="1" applyFont="1" applyFill="1"/>
    <xf numFmtId="0" fontId="10" fillId="4" borderId="0" xfId="1" applyFont="1" applyFill="1" applyAlignment="1">
      <alignment horizontal="center"/>
    </xf>
    <xf numFmtId="3" fontId="10" fillId="4" borderId="0" xfId="1" applyNumberFormat="1" applyFont="1" applyFill="1"/>
    <xf numFmtId="0" fontId="10" fillId="4" borderId="0" xfId="1" applyFont="1" applyFill="1"/>
    <xf numFmtId="0" fontId="10" fillId="0" borderId="0" xfId="1" applyFont="1" applyFill="1" applyAlignment="1">
      <alignment wrapText="1"/>
    </xf>
    <xf numFmtId="0" fontId="10" fillId="4" borderId="0" xfId="1" applyFont="1" applyFill="1" applyAlignment="1">
      <alignment horizontal="left"/>
    </xf>
    <xf numFmtId="0" fontId="10" fillId="0" borderId="0" xfId="0" applyFont="1" applyFill="1" applyAlignment="1">
      <alignment horizontal="right" vertical="top" wrapText="1"/>
    </xf>
    <xf numFmtId="0" fontId="11" fillId="0" borderId="0" xfId="0" applyFont="1" applyFill="1" applyAlignment="1">
      <alignment vertical="top" wrapText="1"/>
    </xf>
    <xf numFmtId="0" fontId="8" fillId="0" borderId="0" xfId="0" applyFont="1" applyFill="1"/>
    <xf numFmtId="0" fontId="10" fillId="0" borderId="0" xfId="0" applyFont="1" applyFill="1" applyAlignment="1">
      <alignment vertical="top" wrapText="1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right"/>
    </xf>
    <xf numFmtId="0" fontId="9" fillId="0" borderId="0" xfId="0" applyFont="1" applyFill="1"/>
    <xf numFmtId="0" fontId="10" fillId="0" borderId="16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top" wrapText="1"/>
    </xf>
    <xf numFmtId="0" fontId="10" fillId="0" borderId="19" xfId="0" applyFont="1" applyFill="1" applyBorder="1" applyAlignment="1">
      <alignment horizontal="center" vertical="top" wrapText="1"/>
    </xf>
    <xf numFmtId="0" fontId="10" fillId="0" borderId="20" xfId="0" applyFont="1" applyFill="1" applyBorder="1" applyAlignment="1">
      <alignment horizontal="center" vertical="top" wrapText="1"/>
    </xf>
    <xf numFmtId="0" fontId="10" fillId="0" borderId="2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2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10" fillId="0" borderId="7" xfId="1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8" fillId="0" borderId="1" xfId="0" applyFont="1" applyFill="1" applyBorder="1"/>
    <xf numFmtId="9" fontId="10" fillId="0" borderId="7" xfId="0" applyNumberFormat="1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17" fontId="2" fillId="0" borderId="1" xfId="0" applyNumberFormat="1" applyFont="1" applyFill="1" applyBorder="1" applyAlignment="1">
      <alignment horizontal="left" vertical="center" wrapText="1" indent="2"/>
    </xf>
    <xf numFmtId="3" fontId="2" fillId="0" borderId="1" xfId="0" applyNumberFormat="1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right" vertical="center" wrapText="1"/>
    </xf>
    <xf numFmtId="0" fontId="11" fillId="0" borderId="15" xfId="8" applyFont="1" applyFill="1" applyBorder="1" applyAlignment="1">
      <alignment horizontal="left" vertical="top" wrapText="1"/>
    </xf>
    <xf numFmtId="3" fontId="10" fillId="0" borderId="1" xfId="0" applyNumberFormat="1" applyFont="1" applyFill="1" applyBorder="1" applyAlignment="1">
      <alignment horizontal="right" vertical="center"/>
    </xf>
    <xf numFmtId="0" fontId="10" fillId="0" borderId="23" xfId="0" applyFont="1" applyFill="1" applyBorder="1" applyAlignment="1">
      <alignment horizontal="right" vertical="center" wrapText="1"/>
    </xf>
    <xf numFmtId="0" fontId="8" fillId="0" borderId="5" xfId="0" applyFont="1" applyFill="1" applyBorder="1"/>
    <xf numFmtId="0" fontId="12" fillId="0" borderId="24" xfId="0" applyFont="1" applyFill="1" applyBorder="1" applyAlignment="1">
      <alignment horizontal="left" vertical="top" wrapText="1"/>
    </xf>
    <xf numFmtId="3" fontId="2" fillId="0" borderId="5" xfId="0" applyNumberFormat="1" applyFont="1" applyFill="1" applyBorder="1"/>
    <xf numFmtId="0" fontId="12" fillId="0" borderId="0" xfId="0" applyFont="1" applyFill="1" applyAlignment="1">
      <alignment horizontal="left" vertical="top" wrapText="1"/>
    </xf>
    <xf numFmtId="1" fontId="2" fillId="0" borderId="0" xfId="0" applyNumberFormat="1" applyFont="1" applyFill="1"/>
    <xf numFmtId="0" fontId="11" fillId="0" borderId="0" xfId="0" applyFont="1" applyFill="1"/>
    <xf numFmtId="0" fontId="2" fillId="0" borderId="0" xfId="0" applyFont="1" applyFill="1"/>
    <xf numFmtId="40" fontId="13" fillId="0" borderId="0" xfId="4" applyNumberFormat="1" applyFont="1" applyFill="1"/>
    <xf numFmtId="0" fontId="2" fillId="2" borderId="1" xfId="0" applyFont="1" applyFill="1" applyBorder="1" applyAlignment="1">
      <alignment horizontal="left" vertical="center"/>
    </xf>
    <xf numFmtId="0" fontId="14" fillId="0" borderId="0" xfId="0" applyFont="1" applyFill="1"/>
    <xf numFmtId="3" fontId="10" fillId="3" borderId="1" xfId="1" applyNumberFormat="1" applyFont="1" applyFill="1" applyBorder="1"/>
    <xf numFmtId="17" fontId="2" fillId="3" borderId="1" xfId="0" applyNumberFormat="1" applyFont="1" applyFill="1" applyBorder="1" applyAlignment="1">
      <alignment horizontal="left" vertical="center" wrapText="1" indent="2"/>
    </xf>
    <xf numFmtId="0" fontId="10" fillId="0" borderId="0" xfId="1" applyFont="1" applyFill="1" applyAlignment="1"/>
    <xf numFmtId="17" fontId="2" fillId="0" borderId="0" xfId="0" applyNumberFormat="1" applyFont="1" applyFill="1" applyBorder="1" applyAlignment="1">
      <alignment horizontal="left" vertical="center" wrapText="1" indent="2"/>
    </xf>
    <xf numFmtId="0" fontId="10" fillId="3" borderId="1" xfId="1" applyFont="1" applyFill="1" applyBorder="1"/>
    <xf numFmtId="0" fontId="10" fillId="0" borderId="0" xfId="1" applyFont="1" applyFill="1" applyBorder="1" applyAlignment="1">
      <alignment horizontal="left"/>
    </xf>
    <xf numFmtId="0" fontId="2" fillId="0" borderId="0" xfId="2" applyFont="1" applyFill="1" applyAlignment="1">
      <alignment vertical="top"/>
    </xf>
    <xf numFmtId="0" fontId="10" fillId="0" borderId="0" xfId="2" applyFont="1" applyFill="1"/>
    <xf numFmtId="0" fontId="2" fillId="0" borderId="0" xfId="1" applyFont="1" applyFill="1" applyAlignment="1">
      <alignment vertical="top"/>
    </xf>
    <xf numFmtId="0" fontId="10" fillId="3" borderId="0" xfId="1" applyFont="1" applyFill="1"/>
    <xf numFmtId="3" fontId="10" fillId="3" borderId="1" xfId="0" applyNumberFormat="1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vertical="center" wrapText="1"/>
    </xf>
    <xf numFmtId="0" fontId="10" fillId="3" borderId="1" xfId="1" applyFont="1" applyFill="1" applyBorder="1" applyAlignment="1">
      <alignment horizontal="right"/>
    </xf>
    <xf numFmtId="3" fontId="10" fillId="3" borderId="1" xfId="0" applyNumberFormat="1" applyFont="1" applyFill="1" applyBorder="1" applyAlignment="1">
      <alignment vertical="center" wrapText="1"/>
    </xf>
    <xf numFmtId="3" fontId="10" fillId="3" borderId="12" xfId="1" applyNumberFormat="1" applyFont="1" applyFill="1" applyBorder="1"/>
    <xf numFmtId="0" fontId="10" fillId="2" borderId="1" xfId="0" applyFont="1" applyFill="1" applyBorder="1" applyAlignment="1">
      <alignment horizontal="center" vertical="center" wrapText="1"/>
    </xf>
    <xf numFmtId="0" fontId="8" fillId="2" borderId="0" xfId="0" applyFont="1" applyFill="1"/>
    <xf numFmtId="3" fontId="10" fillId="2" borderId="1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right"/>
    </xf>
    <xf numFmtId="0" fontId="10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left" wrapText="1"/>
    </xf>
    <xf numFmtId="0" fontId="10" fillId="2" borderId="0" xfId="0" applyFont="1" applyFill="1" applyAlignment="1">
      <alignment horizontal="right" vertical="top" wrapText="1"/>
    </xf>
    <xf numFmtId="0" fontId="11" fillId="2" borderId="0" xfId="0" applyFont="1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right"/>
    </xf>
    <xf numFmtId="165" fontId="2" fillId="2" borderId="9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right" vertical="center" wrapText="1"/>
    </xf>
    <xf numFmtId="17" fontId="2" fillId="2" borderId="1" xfId="0" applyNumberFormat="1" applyFont="1" applyFill="1" applyBorder="1" applyAlignment="1">
      <alignment horizontal="left" vertical="center" wrapText="1" indent="2"/>
    </xf>
    <xf numFmtId="165" fontId="8" fillId="2" borderId="1" xfId="0" applyNumberFormat="1" applyFont="1" applyFill="1" applyBorder="1" applyAlignment="1">
      <alignment horizontal="right" vertical="center" wrapText="1"/>
    </xf>
    <xf numFmtId="4" fontId="10" fillId="2" borderId="1" xfId="0" applyNumberFormat="1" applyFont="1" applyFill="1" applyBorder="1" applyAlignment="1">
      <alignment horizontal="right" vertical="center"/>
    </xf>
    <xf numFmtId="0" fontId="8" fillId="2" borderId="5" xfId="0" applyFont="1" applyFill="1" applyBorder="1"/>
    <xf numFmtId="0" fontId="12" fillId="2" borderId="24" xfId="0" applyFont="1" applyFill="1" applyBorder="1" applyAlignment="1">
      <alignment horizontal="left" vertical="top" wrapText="1"/>
    </xf>
    <xf numFmtId="3" fontId="2" fillId="2" borderId="5" xfId="0" applyNumberFormat="1" applyFont="1" applyFill="1" applyBorder="1"/>
    <xf numFmtId="0" fontId="11" fillId="2" borderId="0" xfId="0" applyFont="1" applyFill="1"/>
    <xf numFmtId="0" fontId="2" fillId="2" borderId="0" xfId="0" applyFont="1" applyFill="1"/>
    <xf numFmtId="0" fontId="8" fillId="2" borderId="0" xfId="0" applyFont="1" applyFill="1" applyAlignment="1">
      <alignment vertical="center" wrapText="1"/>
    </xf>
    <xf numFmtId="40" fontId="13" fillId="2" borderId="0" xfId="4" applyNumberFormat="1" applyFont="1" applyFill="1"/>
    <xf numFmtId="0" fontId="8" fillId="2" borderId="0" xfId="0" applyFont="1" applyFill="1" applyAlignment="1">
      <alignment horizontal="right"/>
    </xf>
    <xf numFmtId="0" fontId="9" fillId="2" borderId="0" xfId="0" applyFont="1" applyFill="1"/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0" fillId="2" borderId="27" xfId="0" applyFont="1" applyFill="1" applyBorder="1" applyAlignment="1">
      <alignment horizontal="center" vertical="top" wrapText="1"/>
    </xf>
    <xf numFmtId="0" fontId="10" fillId="2" borderId="28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167" fontId="10" fillId="2" borderId="20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67" fontId="10" fillId="2" borderId="1" xfId="0" applyNumberFormat="1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right" vertical="center" wrapText="1"/>
    </xf>
    <xf numFmtId="3" fontId="2" fillId="2" borderId="30" xfId="0" applyNumberFormat="1" applyFont="1" applyFill="1" applyBorder="1"/>
    <xf numFmtId="0" fontId="11" fillId="2" borderId="0" xfId="0" applyFont="1" applyFill="1" applyAlignment="1">
      <alignment horizontal="center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top" wrapText="1"/>
    </xf>
    <xf numFmtId="0" fontId="10" fillId="2" borderId="22" xfId="0" applyFont="1" applyFill="1" applyBorder="1" applyAlignment="1">
      <alignment horizontal="center" vertical="top" wrapText="1"/>
    </xf>
    <xf numFmtId="0" fontId="10" fillId="2" borderId="32" xfId="0" applyFont="1" applyFill="1" applyBorder="1" applyAlignment="1">
      <alignment horizontal="center" vertical="top" wrapText="1"/>
    </xf>
    <xf numFmtId="0" fontId="10" fillId="2" borderId="27" xfId="0" applyFont="1" applyFill="1" applyBorder="1" applyAlignment="1">
      <alignment horizontal="left" vertical="top" wrapText="1"/>
    </xf>
    <xf numFmtId="0" fontId="10" fillId="2" borderId="28" xfId="0" applyFont="1" applyFill="1" applyBorder="1" applyAlignment="1">
      <alignment horizontal="left" vertical="top" wrapText="1"/>
    </xf>
    <xf numFmtId="0" fontId="10" fillId="2" borderId="33" xfId="0" applyFont="1" applyFill="1" applyBorder="1" applyAlignment="1">
      <alignment horizontal="left" vertical="top"/>
    </xf>
    <xf numFmtId="0" fontId="10" fillId="2" borderId="34" xfId="0" applyFont="1" applyFill="1" applyBorder="1" applyAlignment="1">
      <alignment horizontal="left" vertical="top" wrapText="1"/>
    </xf>
    <xf numFmtId="166" fontId="2" fillId="2" borderId="7" xfId="0" applyNumberFormat="1" applyFont="1" applyFill="1" applyBorder="1" applyAlignment="1">
      <alignment horizontal="right" vertical="top" wrapText="1"/>
    </xf>
    <xf numFmtId="40" fontId="11" fillId="2" borderId="1" xfId="3" applyNumberFormat="1" applyFont="1" applyFill="1" applyBorder="1" applyAlignment="1">
      <alignment horizontal="right" vertical="top"/>
    </xf>
    <xf numFmtId="1" fontId="10" fillId="2" borderId="1" xfId="0" applyNumberFormat="1" applyFont="1" applyFill="1" applyBorder="1" applyAlignment="1">
      <alignment vertical="top" wrapText="1"/>
    </xf>
    <xf numFmtId="38" fontId="11" fillId="2" borderId="1" xfId="3" applyNumberFormat="1" applyFont="1" applyFill="1" applyBorder="1" applyAlignment="1">
      <alignment horizontal="right" vertical="top"/>
    </xf>
    <xf numFmtId="38" fontId="11" fillId="2" borderId="15" xfId="3" applyNumberFormat="1" applyFont="1" applyFill="1" applyBorder="1" applyAlignment="1">
      <alignment horizontal="right" vertical="top"/>
    </xf>
    <xf numFmtId="0" fontId="10" fillId="2" borderId="35" xfId="0" applyFont="1" applyFill="1" applyBorder="1" applyAlignment="1">
      <alignment horizontal="right" vertical="center" wrapText="1"/>
    </xf>
    <xf numFmtId="40" fontId="11" fillId="2" borderId="15" xfId="3" applyNumberFormat="1" applyFont="1" applyFill="1" applyBorder="1" applyAlignment="1">
      <alignment horizontal="right" vertical="top"/>
    </xf>
    <xf numFmtId="0" fontId="10" fillId="2" borderId="29" xfId="0" applyFont="1" applyFill="1" applyBorder="1" applyAlignment="1">
      <alignment horizontal="right" vertical="center" wrapText="1"/>
    </xf>
    <xf numFmtId="3" fontId="2" fillId="2" borderId="5" xfId="0" applyNumberFormat="1" applyFont="1" applyFill="1" applyBorder="1" applyAlignment="1">
      <alignment vertical="center" wrapText="1"/>
    </xf>
    <xf numFmtId="40" fontId="13" fillId="2" borderId="15" xfId="9" applyNumberFormat="1" applyFont="1" applyFill="1" applyBorder="1" applyAlignment="1">
      <alignment horizontal="right" vertical="top"/>
    </xf>
    <xf numFmtId="0" fontId="10" fillId="2" borderId="8" xfId="0" applyFont="1" applyFill="1" applyBorder="1" applyAlignment="1">
      <alignment horizontal="center" vertical="center" wrapText="1"/>
    </xf>
    <xf numFmtId="0" fontId="8" fillId="2" borderId="1" xfId="0" applyFont="1" applyFill="1" applyBorder="1"/>
    <xf numFmtId="164" fontId="10" fillId="2" borderId="7" xfId="10" applyNumberFormat="1" applyFont="1" applyFill="1" applyBorder="1" applyAlignment="1">
      <alignment horizontal="center" vertical="center" wrapText="1"/>
    </xf>
    <xf numFmtId="17" fontId="2" fillId="2" borderId="10" xfId="0" applyNumberFormat="1" applyFont="1" applyFill="1" applyBorder="1" applyAlignment="1">
      <alignment vertical="center" wrapText="1"/>
    </xf>
    <xf numFmtId="17" fontId="2" fillId="2" borderId="6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/>
    <xf numFmtId="17" fontId="2" fillId="2" borderId="2" xfId="0" applyNumberFormat="1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top" wrapText="1"/>
    </xf>
    <xf numFmtId="0" fontId="10" fillId="2" borderId="19" xfId="0" applyFont="1" applyFill="1" applyBorder="1" applyAlignment="1">
      <alignment horizontal="center" vertical="top" wrapText="1"/>
    </xf>
    <xf numFmtId="0" fontId="10" fillId="2" borderId="20" xfId="0" applyFont="1" applyFill="1" applyBorder="1" applyAlignment="1">
      <alignment horizontal="center" vertical="top" wrapText="1"/>
    </xf>
    <xf numFmtId="0" fontId="10" fillId="2" borderId="21" xfId="0" applyFont="1" applyFill="1" applyBorder="1" applyAlignment="1">
      <alignment horizontal="center" vertical="top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169" fontId="10" fillId="2" borderId="7" xfId="10" applyNumberFormat="1" applyFont="1" applyFill="1" applyBorder="1" applyAlignment="1">
      <alignment horizontal="center" vertical="center" wrapText="1"/>
    </xf>
    <xf numFmtId="168" fontId="10" fillId="2" borderId="7" xfId="10" applyNumberFormat="1" applyFont="1" applyFill="1" applyBorder="1" applyAlignment="1">
      <alignment horizontal="center" vertical="center" wrapText="1"/>
    </xf>
    <xf numFmtId="169" fontId="10" fillId="2" borderId="7" xfId="0" applyNumberFormat="1" applyFont="1" applyFill="1" applyBorder="1" applyAlignment="1">
      <alignment horizontal="center" vertical="center" wrapText="1"/>
    </xf>
    <xf numFmtId="0" fontId="11" fillId="2" borderId="15" xfId="8" applyFont="1" applyFill="1" applyBorder="1" applyAlignment="1">
      <alignment horizontal="left" vertical="top" wrapText="1"/>
    </xf>
    <xf numFmtId="3" fontId="10" fillId="2" borderId="1" xfId="0" applyNumberFormat="1" applyFont="1" applyFill="1" applyBorder="1" applyAlignment="1">
      <alignment horizontal="center" vertical="center"/>
    </xf>
    <xf numFmtId="43" fontId="8" fillId="2" borderId="1" xfId="0" applyNumberFormat="1" applyFont="1" applyFill="1" applyBorder="1"/>
    <xf numFmtId="0" fontId="10" fillId="2" borderId="23" xfId="0" applyFont="1" applyFill="1" applyBorder="1" applyAlignment="1">
      <alignment horizontal="right" vertical="center" wrapText="1"/>
    </xf>
    <xf numFmtId="3" fontId="10" fillId="2" borderId="9" xfId="0" applyNumberFormat="1" applyFont="1" applyFill="1" applyBorder="1" applyAlignment="1">
      <alignment horizontal="center" vertical="center"/>
    </xf>
    <xf numFmtId="3" fontId="11" fillId="2" borderId="9" xfId="6" applyNumberFormat="1" applyFont="1" applyFill="1" applyBorder="1" applyAlignment="1">
      <alignment horizontal="left" vertical="top"/>
    </xf>
    <xf numFmtId="3" fontId="11" fillId="2" borderId="0" xfId="8" applyNumberFormat="1" applyFont="1" applyFill="1" applyAlignment="1">
      <alignment horizontal="center" vertical="top"/>
    </xf>
    <xf numFmtId="3" fontId="11" fillId="2" borderId="9" xfId="6" applyNumberFormat="1" applyFont="1" applyFill="1" applyBorder="1" applyAlignment="1">
      <alignment horizontal="right" vertical="top"/>
    </xf>
    <xf numFmtId="3" fontId="2" fillId="2" borderId="5" xfId="0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left" vertical="top" wrapText="1"/>
    </xf>
    <xf numFmtId="1" fontId="2" fillId="2" borderId="0" xfId="0" applyNumberFormat="1" applyFont="1" applyFill="1"/>
    <xf numFmtId="3" fontId="8" fillId="2" borderId="1" xfId="0" applyNumberFormat="1" applyFont="1" applyFill="1" applyBorder="1"/>
    <xf numFmtId="0" fontId="15" fillId="2" borderId="0" xfId="11" applyNumberFormat="1" applyFont="1" applyFill="1" applyAlignment="1">
      <alignment vertical="center"/>
    </xf>
    <xf numFmtId="0" fontId="16" fillId="2" borderId="0" xfId="11" applyNumberFormat="1" applyFont="1" applyFill="1" applyAlignment="1">
      <alignment vertical="top" wrapText="1"/>
    </xf>
    <xf numFmtId="0" fontId="3" fillId="2" borderId="0" xfId="11" applyFont="1" applyFill="1"/>
    <xf numFmtId="0" fontId="3" fillId="2" borderId="0" xfId="11" applyNumberFormat="1" applyFont="1" applyFill="1" applyAlignment="1">
      <alignment vertical="top" wrapText="1"/>
    </xf>
    <xf numFmtId="0" fontId="15" fillId="2" borderId="39" xfId="11" applyNumberFormat="1" applyFont="1" applyFill="1" applyBorder="1" applyAlignment="1">
      <alignment vertical="center"/>
    </xf>
    <xf numFmtId="0" fontId="17" fillId="2" borderId="0" xfId="11" applyNumberFormat="1" applyFont="1" applyFill="1" applyAlignment="1">
      <alignment wrapText="1"/>
    </xf>
    <xf numFmtId="0" fontId="17" fillId="2" borderId="0" xfId="11" applyNumberFormat="1" applyFont="1" applyFill="1" applyAlignment="1"/>
    <xf numFmtId="0" fontId="3" fillId="2" borderId="0" xfId="11" applyNumberFormat="1" applyFont="1" applyFill="1" applyBorder="1" applyAlignment="1">
      <alignment wrapText="1"/>
    </xf>
    <xf numFmtId="0" fontId="3" fillId="2" borderId="0" xfId="11" applyNumberFormat="1" applyFont="1" applyFill="1" applyBorder="1" applyAlignment="1">
      <alignment horizontal="left" vertical="top"/>
    </xf>
    <xf numFmtId="0" fontId="3" fillId="2" borderId="0" xfId="11" applyNumberFormat="1" applyFont="1" applyFill="1" applyBorder="1" applyAlignment="1">
      <alignment horizontal="left"/>
    </xf>
    <xf numFmtId="0" fontId="18" fillId="2" borderId="0" xfId="11" applyNumberFormat="1" applyFont="1" applyFill="1" applyAlignment="1">
      <alignment vertical="center"/>
    </xf>
    <xf numFmtId="0" fontId="19" fillId="2" borderId="0" xfId="11" applyNumberFormat="1" applyFont="1" applyFill="1" applyAlignment="1">
      <alignment vertical="top" wrapText="1"/>
    </xf>
    <xf numFmtId="0" fontId="20" fillId="2" borderId="0" xfId="11" applyFont="1" applyFill="1"/>
    <xf numFmtId="0" fontId="20" fillId="2" borderId="1" xfId="11" applyNumberFormat="1" applyFont="1" applyFill="1" applyBorder="1" applyAlignment="1">
      <alignment wrapText="1"/>
    </xf>
    <xf numFmtId="0" fontId="20" fillId="2" borderId="0" xfId="11" applyNumberFormat="1" applyFont="1" applyFill="1" applyBorder="1" applyAlignment="1">
      <alignment horizontal="right" vertical="top"/>
    </xf>
    <xf numFmtId="0" fontId="20" fillId="2" borderId="0" xfId="11" applyNumberFormat="1" applyFont="1" applyFill="1" applyBorder="1" applyAlignment="1">
      <alignment wrapText="1"/>
    </xf>
    <xf numFmtId="0" fontId="20" fillId="2" borderId="0" xfId="11" applyNumberFormat="1" applyFont="1" applyFill="1" applyAlignment="1">
      <alignment wrapText="1"/>
    </xf>
    <xf numFmtId="0" fontId="18" fillId="2" borderId="39" xfId="11" applyNumberFormat="1" applyFont="1" applyFill="1" applyBorder="1" applyAlignment="1"/>
    <xf numFmtId="0" fontId="20" fillId="2" borderId="0" xfId="11" applyNumberFormat="1" applyFont="1" applyFill="1" applyAlignment="1">
      <alignment vertical="top" wrapText="1"/>
    </xf>
    <xf numFmtId="0" fontId="18" fillId="2" borderId="39" xfId="11" applyNumberFormat="1" applyFont="1" applyFill="1" applyBorder="1" applyAlignment="1">
      <alignment vertical="center"/>
    </xf>
    <xf numFmtId="0" fontId="20" fillId="2" borderId="0" xfId="11" applyNumberFormat="1" applyFont="1" applyFill="1" applyAlignment="1"/>
    <xf numFmtId="0" fontId="21" fillId="2" borderId="0" xfId="11" applyNumberFormat="1" applyFont="1" applyFill="1" applyAlignment="1">
      <alignment horizontal="left" vertical="center"/>
    </xf>
    <xf numFmtId="0" fontId="22" fillId="2" borderId="0" xfId="11" applyNumberFormat="1" applyFont="1" applyFill="1" applyAlignment="1">
      <alignment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11" fillId="2" borderId="1" xfId="5" applyNumberFormat="1" applyFont="1" applyFill="1" applyBorder="1" applyAlignment="1">
      <alignment horizontal="right" vertical="top"/>
    </xf>
    <xf numFmtId="3" fontId="2" fillId="2" borderId="1" xfId="0" applyNumberFormat="1" applyFont="1" applyFill="1" applyBorder="1" applyAlignment="1">
      <alignment horizontal="left" vertical="center" wrapText="1" indent="2"/>
    </xf>
    <xf numFmtId="3" fontId="10" fillId="2" borderId="1" xfId="0" applyNumberFormat="1" applyFont="1" applyFill="1" applyBorder="1" applyAlignment="1">
      <alignment horizontal="left" vertical="center" wrapText="1" indent="2"/>
    </xf>
    <xf numFmtId="3" fontId="10" fillId="2" borderId="1" xfId="0" applyNumberFormat="1" applyFont="1" applyFill="1" applyBorder="1" applyAlignment="1">
      <alignment vertical="center" wrapText="1"/>
    </xf>
    <xf numFmtId="3" fontId="11" fillId="2" borderId="2" xfId="5" applyNumberFormat="1" applyFont="1" applyFill="1" applyBorder="1" applyAlignment="1">
      <alignment horizontal="right" vertical="top"/>
    </xf>
    <xf numFmtId="3" fontId="2" fillId="2" borderId="30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right" vertical="center"/>
    </xf>
    <xf numFmtId="3" fontId="11" fillId="2" borderId="9" xfId="10" applyNumberFormat="1" applyFont="1" applyFill="1" applyBorder="1" applyAlignment="1">
      <alignment horizontal="left" vertical="top"/>
    </xf>
    <xf numFmtId="3" fontId="11" fillId="2" borderId="15" xfId="7" applyNumberFormat="1" applyFont="1" applyFill="1" applyBorder="1" applyAlignment="1">
      <alignment horizontal="right" vertical="top"/>
    </xf>
    <xf numFmtId="3" fontId="8" fillId="2" borderId="1" xfId="0" applyNumberFormat="1" applyFont="1" applyFill="1" applyBorder="1" applyAlignment="1">
      <alignment horizontal="right" vertical="center"/>
    </xf>
    <xf numFmtId="3" fontId="10" fillId="2" borderId="1" xfId="10" applyNumberFormat="1" applyFont="1" applyFill="1" applyBorder="1" applyAlignment="1">
      <alignment horizontal="right" vertical="center"/>
    </xf>
    <xf numFmtId="3" fontId="8" fillId="0" borderId="1" xfId="0" applyNumberFormat="1" applyFont="1" applyFill="1" applyBorder="1"/>
    <xf numFmtId="3" fontId="2" fillId="0" borderId="1" xfId="0" applyNumberFormat="1" applyFont="1" applyFill="1" applyBorder="1" applyAlignment="1">
      <alignment horizontal="center" vertical="center"/>
    </xf>
    <xf numFmtId="3" fontId="11" fillId="0" borderId="9" xfId="6" applyNumberFormat="1" applyFont="1" applyFill="1" applyBorder="1" applyAlignment="1">
      <alignment horizontal="left" vertical="top"/>
    </xf>
    <xf numFmtId="9" fontId="10" fillId="2" borderId="7" xfId="0" applyNumberFormat="1" applyFont="1" applyFill="1" applyBorder="1" applyAlignment="1">
      <alignment horizontal="center" vertical="center" wrapText="1"/>
    </xf>
    <xf numFmtId="165" fontId="10" fillId="2" borderId="7" xfId="0" applyNumberFormat="1" applyFont="1" applyFill="1" applyBorder="1" applyAlignment="1">
      <alignment horizontal="center" wrapText="1"/>
    </xf>
    <xf numFmtId="0" fontId="8" fillId="2" borderId="7" xfId="0" applyFont="1" applyFill="1" applyBorder="1"/>
    <xf numFmtId="3" fontId="2" fillId="2" borderId="7" xfId="0" applyNumberFormat="1" applyFont="1" applyFill="1" applyBorder="1" applyAlignment="1">
      <alignment horizontal="right" vertical="top" wrapText="1"/>
    </xf>
    <xf numFmtId="0" fontId="20" fillId="2" borderId="1" xfId="11" applyNumberFormat="1" applyFont="1" applyFill="1" applyBorder="1" applyAlignment="1">
      <alignment horizontal="center" wrapText="1"/>
    </xf>
    <xf numFmtId="0" fontId="2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/>
    </xf>
    <xf numFmtId="0" fontId="10" fillId="0" borderId="0" xfId="1" applyFont="1" applyFill="1" applyAlignment="1">
      <alignment horizontal="left" vertical="center" wrapText="1"/>
    </xf>
    <xf numFmtId="0" fontId="10" fillId="0" borderId="0" xfId="1" applyFont="1" applyFill="1" applyAlignment="1">
      <alignment horizontal="center" vertical="center" wrapText="1"/>
    </xf>
    <xf numFmtId="0" fontId="10" fillId="0" borderId="0" xfId="1" applyFont="1" applyFill="1" applyAlignment="1">
      <alignment horizontal="center" wrapText="1"/>
    </xf>
    <xf numFmtId="0" fontId="10" fillId="0" borderId="1" xfId="1" applyFont="1" applyFill="1" applyBorder="1" applyAlignment="1">
      <alignment horizontal="center"/>
    </xf>
    <xf numFmtId="0" fontId="10" fillId="0" borderId="0" xfId="1" applyFont="1" applyFill="1" applyAlignment="1">
      <alignment horizontal="left" vertical="top" wrapText="1"/>
    </xf>
    <xf numFmtId="0" fontId="10" fillId="0" borderId="0" xfId="2" applyFont="1" applyFill="1" applyAlignment="1">
      <alignment horizontal="left" vertical="top" wrapText="1"/>
    </xf>
    <xf numFmtId="0" fontId="10" fillId="0" borderId="0" xfId="0" applyFont="1" applyFill="1" applyAlignment="1">
      <alignment horizontal="center"/>
    </xf>
    <xf numFmtId="0" fontId="2" fillId="2" borderId="3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2" fillId="2" borderId="37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2" borderId="38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</cellXfs>
  <cellStyles count="12">
    <cellStyle name="Обычный" xfId="0" builtinId="0"/>
    <cellStyle name="Обычный 2" xfId="1"/>
    <cellStyle name="Обычный 3" xfId="2"/>
    <cellStyle name="Обычный_200.00" xfId="11"/>
    <cellStyle name="Обычный_4.1.1" xfId="3"/>
    <cellStyle name="Обычный_4.1.1_1" xfId="4"/>
    <cellStyle name="Обычный_5.1.1" xfId="5"/>
    <cellStyle name="Обычный_6.1.1" xfId="6"/>
    <cellStyle name="Обычный_Регистр по ИПН" xfId="7"/>
    <cellStyle name="Обычный_Регистр по расчету ОПВ" xfId="8"/>
    <cellStyle name="Обычный_Регистр по соц. налогу" xfId="9"/>
    <cellStyle name="Финансовый" xfId="10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Radio" firstButton="1" lockText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lockText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Radio" lockText="1"/>
</file>

<file path=xl/ctrlProps/ctrlProp4.xml><?xml version="1.0" encoding="utf-8"?>
<formControlPr xmlns="http://schemas.microsoft.com/office/spreadsheetml/2009/9/main" objectType="Radio" lockText="1"/>
</file>

<file path=xl/ctrlProps/ctrlProp5.xml><?xml version="1.0" encoding="utf-8"?>
<formControlPr xmlns="http://schemas.microsoft.com/office/spreadsheetml/2009/9/main" objectType="Radio" checked="Checked" lockText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85725</xdr:rowOff>
    </xdr:from>
    <xdr:to>
      <xdr:col>1</xdr:col>
      <xdr:colOff>95250</xdr:colOff>
      <xdr:row>0</xdr:row>
      <xdr:rowOff>561975</xdr:rowOff>
    </xdr:to>
    <xdr:pic>
      <xdr:nvPicPr>
        <xdr:cNvPr id="3" name="Image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38100" y="85725"/>
          <a:ext cx="1905000" cy="476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16</xdr:row>
          <xdr:rowOff>85725</xdr:rowOff>
        </xdr:from>
        <xdr:to>
          <xdr:col>3</xdr:col>
          <xdr:colOff>133350</xdr:colOff>
          <xdr:row>17</xdr:row>
          <xdr:rowOff>114300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первоначальная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16</xdr:row>
          <xdr:rowOff>85725</xdr:rowOff>
        </xdr:from>
        <xdr:to>
          <xdr:col>7</xdr:col>
          <xdr:colOff>0</xdr:colOff>
          <xdr:row>17</xdr:row>
          <xdr:rowOff>114300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дополнительная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16</xdr:row>
          <xdr:rowOff>114300</xdr:rowOff>
        </xdr:from>
        <xdr:to>
          <xdr:col>10</xdr:col>
          <xdr:colOff>600075</xdr:colOff>
          <xdr:row>17</xdr:row>
          <xdr:rowOff>114300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дополнительная по уведомлению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142875</xdr:colOff>
          <xdr:row>16</xdr:row>
          <xdr:rowOff>95250</xdr:rowOff>
        </xdr:from>
        <xdr:to>
          <xdr:col>13</xdr:col>
          <xdr:colOff>0</xdr:colOff>
          <xdr:row>17</xdr:row>
          <xdr:rowOff>123825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ликвидационная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142875</xdr:colOff>
          <xdr:row>16</xdr:row>
          <xdr:rowOff>57150</xdr:rowOff>
        </xdr:from>
        <xdr:to>
          <xdr:col>4</xdr:col>
          <xdr:colOff>485775</xdr:colOff>
          <xdr:row>17</xdr:row>
          <xdr:rowOff>123825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очередная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42</xdr:row>
          <xdr:rowOff>0</xdr:rowOff>
        </xdr:from>
        <xdr:to>
          <xdr:col>9</xdr:col>
          <xdr:colOff>19050</xdr:colOff>
          <xdr:row>43</xdr:row>
          <xdr:rowOff>123825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571500</xdr:colOff>
          <xdr:row>42</xdr:row>
          <xdr:rowOff>0</xdr:rowOff>
        </xdr:from>
        <xdr:to>
          <xdr:col>8</xdr:col>
          <xdr:colOff>581025</xdr:colOff>
          <xdr:row>43</xdr:row>
          <xdr:rowOff>123825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42</xdr:row>
          <xdr:rowOff>0</xdr:rowOff>
        </xdr:from>
        <xdr:to>
          <xdr:col>13</xdr:col>
          <xdr:colOff>19050</xdr:colOff>
          <xdr:row>43</xdr:row>
          <xdr:rowOff>123825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26</xdr:row>
          <xdr:rowOff>0</xdr:rowOff>
        </xdr:from>
        <xdr:to>
          <xdr:col>12</xdr:col>
          <xdr:colOff>581025</xdr:colOff>
          <xdr:row>27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1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28</xdr:row>
          <xdr:rowOff>0</xdr:rowOff>
        </xdr:from>
        <xdr:to>
          <xdr:col>12</xdr:col>
          <xdr:colOff>514350</xdr:colOff>
          <xdr:row>29</xdr:row>
          <xdr:rowOff>57150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1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30</xdr:row>
          <xdr:rowOff>0</xdr:rowOff>
        </xdr:from>
        <xdr:to>
          <xdr:col>13</xdr:col>
          <xdr:colOff>19050</xdr:colOff>
          <xdr:row>30</xdr:row>
          <xdr:rowOff>428625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1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32</xdr:row>
          <xdr:rowOff>0</xdr:rowOff>
        </xdr:from>
        <xdr:to>
          <xdr:col>13</xdr:col>
          <xdr:colOff>19050</xdr:colOff>
          <xdr:row>32</xdr:row>
          <xdr:rowOff>428625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1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34</xdr:row>
          <xdr:rowOff>0</xdr:rowOff>
        </xdr:from>
        <xdr:to>
          <xdr:col>13</xdr:col>
          <xdr:colOff>19050</xdr:colOff>
          <xdr:row>34</xdr:row>
          <xdr:rowOff>428625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1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36</xdr:row>
          <xdr:rowOff>0</xdr:rowOff>
        </xdr:from>
        <xdr:to>
          <xdr:col>13</xdr:col>
          <xdr:colOff>19050</xdr:colOff>
          <xdr:row>36</xdr:row>
          <xdr:rowOff>428625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1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50</xdr:row>
          <xdr:rowOff>0</xdr:rowOff>
        </xdr:from>
        <xdr:to>
          <xdr:col>7</xdr:col>
          <xdr:colOff>238125</xdr:colOff>
          <xdr:row>51</xdr:row>
          <xdr:rowOff>19050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1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600075</xdr:colOff>
          <xdr:row>49</xdr:row>
          <xdr:rowOff>142875</xdr:rowOff>
        </xdr:from>
        <xdr:to>
          <xdr:col>8</xdr:col>
          <xdr:colOff>428625</xdr:colOff>
          <xdr:row>51</xdr:row>
          <xdr:rowOff>57150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1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02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49</xdr:row>
          <xdr:rowOff>152400</xdr:rowOff>
        </xdr:from>
        <xdr:to>
          <xdr:col>10</xdr:col>
          <xdr:colOff>57150</xdr:colOff>
          <xdr:row>51</xdr:row>
          <xdr:rowOff>66675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1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03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49</xdr:row>
          <xdr:rowOff>142875</xdr:rowOff>
        </xdr:from>
        <xdr:to>
          <xdr:col>11</xdr:col>
          <xdr:colOff>76200</xdr:colOff>
          <xdr:row>51</xdr:row>
          <xdr:rowOff>57150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1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04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49</xdr:row>
          <xdr:rowOff>123825</xdr:rowOff>
        </xdr:from>
        <xdr:to>
          <xdr:col>12</xdr:col>
          <xdr:colOff>57150</xdr:colOff>
          <xdr:row>51</xdr:row>
          <xdr:rowOff>38100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1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05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19050</xdr:colOff>
          <xdr:row>49</xdr:row>
          <xdr:rowOff>142875</xdr:rowOff>
        </xdr:from>
        <xdr:to>
          <xdr:col>13</xdr:col>
          <xdr:colOff>76200</xdr:colOff>
          <xdr:row>51</xdr:row>
          <xdr:rowOff>57150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1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06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38</xdr:row>
          <xdr:rowOff>0</xdr:rowOff>
        </xdr:from>
        <xdr:to>
          <xdr:col>12</xdr:col>
          <xdr:colOff>581025</xdr:colOff>
          <xdr:row>38</xdr:row>
          <xdr:rowOff>209550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1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28575</xdr:colOff>
      <xdr:row>0</xdr:row>
      <xdr:rowOff>114300</xdr:rowOff>
    </xdr:from>
    <xdr:to>
      <xdr:col>3</xdr:col>
      <xdr:colOff>133350</xdr:colOff>
      <xdr:row>1</xdr:row>
      <xdr:rowOff>428625</xdr:rowOff>
    </xdr:to>
    <xdr:pic>
      <xdr:nvPicPr>
        <xdr:cNvPr id="23" name="Image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28575" y="114300"/>
          <a:ext cx="1905000" cy="476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95250</xdr:rowOff>
    </xdr:from>
    <xdr:to>
      <xdr:col>3</xdr:col>
      <xdr:colOff>190500</xdr:colOff>
      <xdr:row>0</xdr:row>
      <xdr:rowOff>571500</xdr:rowOff>
    </xdr:to>
    <xdr:pic>
      <xdr:nvPicPr>
        <xdr:cNvPr id="2" name="Image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57150" y="95250"/>
          <a:ext cx="1905000" cy="476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257175</xdr:colOff>
      <xdr:row>0</xdr:row>
      <xdr:rowOff>85725</xdr:rowOff>
    </xdr:from>
    <xdr:to>
      <xdr:col>18</xdr:col>
      <xdr:colOff>466725</xdr:colOff>
      <xdr:row>2</xdr:row>
      <xdr:rowOff>152400</xdr:rowOff>
    </xdr:to>
    <xdr:pic>
      <xdr:nvPicPr>
        <xdr:cNvPr id="2" name="Image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14611350" y="85725"/>
          <a:ext cx="1905000" cy="476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133350</xdr:colOff>
      <xdr:row>0</xdr:row>
      <xdr:rowOff>114300</xdr:rowOff>
    </xdr:from>
    <xdr:to>
      <xdr:col>18</xdr:col>
      <xdr:colOff>933450</xdr:colOff>
      <xdr:row>3</xdr:row>
      <xdr:rowOff>19050</xdr:rowOff>
    </xdr:to>
    <xdr:pic>
      <xdr:nvPicPr>
        <xdr:cNvPr id="2" name="Image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15525750" y="114300"/>
          <a:ext cx="1905000" cy="4762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466725</xdr:colOff>
      <xdr:row>0</xdr:row>
      <xdr:rowOff>142875</xdr:rowOff>
    </xdr:from>
    <xdr:to>
      <xdr:col>12</xdr:col>
      <xdr:colOff>638175</xdr:colOff>
      <xdr:row>3</xdr:row>
      <xdr:rowOff>47625</xdr:rowOff>
    </xdr:to>
    <xdr:pic>
      <xdr:nvPicPr>
        <xdr:cNvPr id="2" name="Image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10144125" y="142875"/>
          <a:ext cx="1905000" cy="4762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</xdr:colOff>
      <xdr:row>0</xdr:row>
      <xdr:rowOff>76200</xdr:rowOff>
    </xdr:from>
    <xdr:to>
      <xdr:col>6</xdr:col>
      <xdr:colOff>1143000</xdr:colOff>
      <xdr:row>2</xdr:row>
      <xdr:rowOff>142875</xdr:rowOff>
    </xdr:to>
    <xdr:pic>
      <xdr:nvPicPr>
        <xdr:cNvPr id="2" name="Image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876800" y="76200"/>
          <a:ext cx="1905000" cy="4762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104775</xdr:colOff>
      <xdr:row>0</xdr:row>
      <xdr:rowOff>114300</xdr:rowOff>
    </xdr:from>
    <xdr:to>
      <xdr:col>9</xdr:col>
      <xdr:colOff>333375</xdr:colOff>
      <xdr:row>3</xdr:row>
      <xdr:rowOff>104775</xdr:rowOff>
    </xdr:to>
    <xdr:pic>
      <xdr:nvPicPr>
        <xdr:cNvPr id="2" name="Image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086475" y="114300"/>
          <a:ext cx="1905000" cy="4762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762000</xdr:colOff>
      <xdr:row>0</xdr:row>
      <xdr:rowOff>47625</xdr:rowOff>
    </xdr:from>
    <xdr:to>
      <xdr:col>11</xdr:col>
      <xdr:colOff>1009650</xdr:colOff>
      <xdr:row>2</xdr:row>
      <xdr:rowOff>114300</xdr:rowOff>
    </xdr:to>
    <xdr:pic>
      <xdr:nvPicPr>
        <xdr:cNvPr id="2" name="Image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9077325" y="47625"/>
          <a:ext cx="1905000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"/>
  <sheetViews>
    <sheetView workbookViewId="0">
      <selection activeCell="H17" sqref="H17"/>
    </sheetView>
  </sheetViews>
  <sheetFormatPr defaultColWidth="8.85546875" defaultRowHeight="12.75" x14ac:dyDescent="0.2"/>
  <cols>
    <col min="1" max="1" width="27.7109375" style="1" customWidth="1"/>
    <col min="2" max="2" width="13.7109375" style="1" customWidth="1"/>
    <col min="3" max="16384" width="8.85546875" style="1"/>
  </cols>
  <sheetData>
    <row r="1" spans="1:3" ht="48" customHeight="1" x14ac:dyDescent="0.2"/>
    <row r="2" spans="1:3" x14ac:dyDescent="0.2">
      <c r="A2" s="2" t="s">
        <v>251</v>
      </c>
      <c r="B2" s="3">
        <v>85000</v>
      </c>
      <c r="C2" s="4" t="s">
        <v>133</v>
      </c>
    </row>
    <row r="3" spans="1:3" x14ac:dyDescent="0.2">
      <c r="A3" s="2" t="s">
        <v>252</v>
      </c>
      <c r="B3" s="3">
        <f>50*B2</f>
        <v>4250000</v>
      </c>
      <c r="C3" s="4" t="s">
        <v>133</v>
      </c>
    </row>
    <row r="4" spans="1:3" x14ac:dyDescent="0.2">
      <c r="A4" s="2" t="s">
        <v>253</v>
      </c>
      <c r="B4" s="3">
        <f>B3*0.1</f>
        <v>425000</v>
      </c>
      <c r="C4" s="4" t="s">
        <v>133</v>
      </c>
    </row>
    <row r="5" spans="1:3" x14ac:dyDescent="0.2">
      <c r="A5" s="2" t="s">
        <v>254</v>
      </c>
      <c r="B5" s="3">
        <f>7*B2</f>
        <v>595000</v>
      </c>
      <c r="C5" s="4" t="s">
        <v>133</v>
      </c>
    </row>
    <row r="6" spans="1:3" x14ac:dyDescent="0.2">
      <c r="A6" s="2" t="s">
        <v>255</v>
      </c>
      <c r="B6" s="3">
        <f>B5*0.035</f>
        <v>20825.000000000004</v>
      </c>
      <c r="C6" s="4" t="s">
        <v>133</v>
      </c>
    </row>
    <row r="7" spans="1:3" x14ac:dyDescent="0.2">
      <c r="A7" s="2" t="s">
        <v>256</v>
      </c>
      <c r="B7" s="3">
        <f>B2*10</f>
        <v>850000</v>
      </c>
      <c r="C7" s="4" t="s">
        <v>133</v>
      </c>
    </row>
    <row r="8" spans="1:3" x14ac:dyDescent="0.2">
      <c r="A8" s="2" t="s">
        <v>257</v>
      </c>
      <c r="B8" s="3">
        <f>B7*2%</f>
        <v>17000</v>
      </c>
      <c r="C8" s="4" t="s">
        <v>133</v>
      </c>
    </row>
    <row r="9" spans="1:3" ht="25.5" x14ac:dyDescent="0.2">
      <c r="A9" s="5" t="s">
        <v>258</v>
      </c>
      <c r="B9" s="6">
        <v>3692</v>
      </c>
      <c r="C9" s="7" t="s">
        <v>133</v>
      </c>
    </row>
  </sheetData>
  <pageMargins left="0.7" right="0.7" top="0.75" bottom="0.75" header="0.3" footer="0.3"/>
  <pageSetup paperSize="9" scale="6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250"/>
  <sheetViews>
    <sheetView zoomScaleNormal="100" workbookViewId="0">
      <selection activeCell="V23" sqref="V23"/>
    </sheetView>
  </sheetViews>
  <sheetFormatPr defaultColWidth="8.85546875" defaultRowHeight="12.75" x14ac:dyDescent="0.2"/>
  <cols>
    <col min="1" max="1" width="7.28515625" style="11" customWidth="1"/>
    <col min="2" max="2" width="10.85546875" style="11" customWidth="1"/>
    <col min="3" max="4" width="8.85546875" style="11"/>
    <col min="5" max="5" width="16" style="11" customWidth="1"/>
    <col min="6" max="6" width="8.85546875" style="11"/>
    <col min="7" max="7" width="12" style="11" customWidth="1"/>
    <col min="8" max="10" width="8.85546875" style="11"/>
    <col min="11" max="11" width="10.7109375" style="11" bestFit="1" customWidth="1"/>
    <col min="12" max="12" width="8.85546875" style="11"/>
    <col min="13" max="13" width="14.5703125" style="11" customWidth="1"/>
    <col min="14" max="15" width="8.85546875" style="11"/>
    <col min="16" max="16" width="12.28515625" style="11" customWidth="1"/>
    <col min="17" max="16384" width="8.85546875" style="11"/>
  </cols>
  <sheetData>
    <row r="1" spans="1:13" x14ac:dyDescent="0.2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10" t="s">
        <v>0</v>
      </c>
    </row>
    <row r="2" spans="1:13" ht="38.25" customHeight="1" x14ac:dyDescent="0.2">
      <c r="A2" s="9"/>
      <c r="B2" s="9"/>
      <c r="C2" s="9"/>
      <c r="D2" s="9"/>
      <c r="E2" s="245" t="s">
        <v>169</v>
      </c>
      <c r="F2" s="245"/>
      <c r="G2" s="245"/>
      <c r="H2" s="245"/>
      <c r="I2" s="245"/>
      <c r="J2" s="245"/>
      <c r="K2" s="245"/>
      <c r="L2" s="9"/>
      <c r="M2" s="9"/>
    </row>
    <row r="4" spans="1:13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 t="s">
        <v>1</v>
      </c>
      <c r="M4" s="12"/>
    </row>
    <row r="5" spans="1:13" x14ac:dyDescent="0.2">
      <c r="A5" s="250" t="s">
        <v>2</v>
      </c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</row>
    <row r="6" spans="1:13" ht="13.5" thickBot="1" x14ac:dyDescent="0.25">
      <c r="A6" s="13" t="s">
        <v>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8" spans="1:13" x14ac:dyDescent="0.2">
      <c r="A8" s="246" t="s">
        <v>4</v>
      </c>
      <c r="B8" s="246"/>
      <c r="C8" s="246"/>
      <c r="D8" s="246"/>
      <c r="E8" s="246"/>
      <c r="F8" s="246"/>
      <c r="G8" s="246"/>
      <c r="H8" s="246"/>
      <c r="I8" s="246"/>
      <c r="J8" s="246"/>
      <c r="K8" s="246"/>
      <c r="L8" s="246"/>
      <c r="M8" s="246"/>
    </row>
    <row r="9" spans="1:13" ht="13.5" thickBot="1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 ht="13.5" thickBot="1" x14ac:dyDescent="0.25">
      <c r="A10" s="15">
        <v>1</v>
      </c>
      <c r="B10" s="9"/>
      <c r="C10" s="16" t="s">
        <v>5</v>
      </c>
      <c r="D10" s="9"/>
      <c r="E10" s="17">
        <v>12332112321</v>
      </c>
      <c r="F10" s="9"/>
      <c r="G10" s="9"/>
      <c r="H10" s="9"/>
      <c r="I10" s="9"/>
      <c r="J10" s="9"/>
      <c r="K10" s="9"/>
      <c r="L10" s="9"/>
      <c r="M10" s="9"/>
    </row>
    <row r="11" spans="1:13" ht="13.5" thickBot="1" x14ac:dyDescent="0.25">
      <c r="A11" s="1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3" ht="13.5" thickBot="1" x14ac:dyDescent="0.25">
      <c r="A12" s="19">
        <v>2</v>
      </c>
      <c r="B12" s="9"/>
      <c r="C12" s="9" t="s">
        <v>6</v>
      </c>
      <c r="D12" s="9"/>
      <c r="E12" s="9"/>
      <c r="F12" s="9"/>
      <c r="G12" s="9"/>
      <c r="H12" s="9"/>
      <c r="I12" s="9"/>
      <c r="J12" s="20">
        <v>1</v>
      </c>
      <c r="K12" s="9" t="s">
        <v>7</v>
      </c>
      <c r="L12" s="21"/>
      <c r="M12" s="22">
        <v>2024</v>
      </c>
    </row>
    <row r="13" spans="1:13" ht="13.5" thickBot="1" x14ac:dyDescent="0.25">
      <c r="A13" s="1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ht="13.5" thickBot="1" x14ac:dyDescent="0.25">
      <c r="A14" s="19">
        <v>3</v>
      </c>
      <c r="B14" s="9"/>
      <c r="C14" s="9" t="s">
        <v>8</v>
      </c>
      <c r="D14" s="9"/>
      <c r="E14" s="9"/>
      <c r="F14" s="9"/>
      <c r="G14" s="9"/>
      <c r="H14" s="9"/>
      <c r="I14" s="9"/>
      <c r="J14" s="23" t="s">
        <v>249</v>
      </c>
      <c r="K14" s="24"/>
      <c r="L14" s="24"/>
      <c r="M14" s="25"/>
    </row>
    <row r="15" spans="1:13" ht="13.5" thickBot="1" x14ac:dyDescent="0.25">
      <c r="A15" s="1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3" ht="13.5" thickBot="1" x14ac:dyDescent="0.25">
      <c r="A16" s="19">
        <v>4</v>
      </c>
      <c r="B16" s="9"/>
      <c r="C16" s="9" t="s">
        <v>9</v>
      </c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 x14ac:dyDescent="0.2">
      <c r="A17" s="1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ht="13.5" thickBot="1" x14ac:dyDescent="0.25">
      <c r="A18" s="1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13" ht="13.5" thickBot="1" x14ac:dyDescent="0.25">
      <c r="A19" s="19">
        <v>5</v>
      </c>
      <c r="B19" s="9"/>
      <c r="C19" s="9" t="s">
        <v>10</v>
      </c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13" x14ac:dyDescent="0.2">
      <c r="A20" s="1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13" x14ac:dyDescent="0.2">
      <c r="A21" s="18"/>
      <c r="B21" s="9" t="s">
        <v>11</v>
      </c>
      <c r="C21" s="9" t="s">
        <v>12</v>
      </c>
      <c r="D21" s="23"/>
      <c r="E21" s="24"/>
      <c r="F21" s="25"/>
      <c r="G21" s="9"/>
      <c r="H21" s="9"/>
      <c r="I21" s="9"/>
      <c r="J21" s="9"/>
      <c r="K21" s="9"/>
      <c r="L21" s="9"/>
      <c r="M21" s="9"/>
    </row>
    <row r="22" spans="1:13" x14ac:dyDescent="0.2">
      <c r="A22" s="1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3" x14ac:dyDescent="0.2">
      <c r="A23" s="18"/>
      <c r="B23" s="9" t="s">
        <v>13</v>
      </c>
      <c r="C23" s="9" t="s">
        <v>14</v>
      </c>
      <c r="D23" s="23"/>
      <c r="E23" s="24"/>
      <c r="F23" s="25"/>
      <c r="G23" s="9"/>
      <c r="H23" s="9"/>
      <c r="I23" s="9"/>
      <c r="J23" s="9"/>
      <c r="K23" s="9"/>
      <c r="L23" s="9"/>
      <c r="M23" s="9"/>
    </row>
    <row r="24" spans="1:13" ht="13.5" thickBot="1" x14ac:dyDescent="0.25">
      <c r="A24" s="1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13" ht="13.5" thickBot="1" x14ac:dyDescent="0.25">
      <c r="A25" s="19">
        <v>6</v>
      </c>
      <c r="B25" s="9"/>
      <c r="C25" s="9" t="s">
        <v>15</v>
      </c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13" x14ac:dyDescent="0.2">
      <c r="A26" s="1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13" ht="21.6" customHeight="1" x14ac:dyDescent="0.2">
      <c r="A27" s="18"/>
      <c r="B27" s="9" t="s">
        <v>11</v>
      </c>
      <c r="C27" s="247" t="s">
        <v>170</v>
      </c>
      <c r="D27" s="247"/>
      <c r="E27" s="247"/>
      <c r="F27" s="247"/>
      <c r="G27" s="247"/>
      <c r="H27" s="247"/>
      <c r="I27" s="247"/>
      <c r="J27" s="247"/>
      <c r="K27" s="247"/>
      <c r="L27" s="247"/>
      <c r="M27" s="9"/>
    </row>
    <row r="28" spans="1:13" ht="7.9" customHeight="1" x14ac:dyDescent="0.2">
      <c r="A28" s="18"/>
      <c r="B28" s="9"/>
      <c r="C28" s="26"/>
      <c r="D28" s="26"/>
      <c r="E28" s="26"/>
      <c r="F28" s="26"/>
      <c r="G28" s="26"/>
      <c r="H28" s="26"/>
      <c r="I28" s="26"/>
      <c r="J28" s="26"/>
      <c r="K28" s="26"/>
      <c r="L28" s="26"/>
    </row>
    <row r="29" spans="1:13" ht="30" customHeight="1" x14ac:dyDescent="0.2">
      <c r="A29" s="18"/>
      <c r="B29" s="9" t="s">
        <v>13</v>
      </c>
      <c r="C29" s="247" t="s">
        <v>171</v>
      </c>
      <c r="D29" s="247"/>
      <c r="E29" s="247"/>
      <c r="F29" s="247"/>
      <c r="G29" s="247"/>
      <c r="H29" s="247"/>
      <c r="I29" s="247"/>
      <c r="J29" s="247"/>
      <c r="K29" s="247"/>
      <c r="L29" s="247"/>
    </row>
    <row r="30" spans="1:13" ht="6.6" customHeight="1" x14ac:dyDescent="0.2">
      <c r="A30" s="1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</row>
    <row r="31" spans="1:13" ht="23.45" customHeight="1" x14ac:dyDescent="0.2">
      <c r="A31" s="18"/>
      <c r="B31" s="9" t="s">
        <v>16</v>
      </c>
      <c r="C31" s="247" t="s">
        <v>175</v>
      </c>
      <c r="D31" s="247"/>
      <c r="E31" s="247"/>
      <c r="F31" s="247"/>
      <c r="G31" s="247"/>
      <c r="H31" s="247"/>
      <c r="I31" s="247"/>
      <c r="J31" s="247"/>
      <c r="K31" s="247"/>
      <c r="L31" s="247"/>
    </row>
    <row r="32" spans="1:13" ht="4.9000000000000004" customHeight="1" x14ac:dyDescent="0.2">
      <c r="A32" s="18"/>
      <c r="B32" s="9"/>
      <c r="C32" s="26"/>
      <c r="D32" s="26"/>
      <c r="E32" s="26"/>
      <c r="F32" s="26"/>
      <c r="G32" s="26"/>
      <c r="H32" s="26"/>
      <c r="I32" s="26"/>
      <c r="J32" s="26"/>
      <c r="K32" s="26"/>
      <c r="L32" s="26"/>
    </row>
    <row r="33" spans="1:13" ht="18.600000000000001" customHeight="1" x14ac:dyDescent="0.2">
      <c r="A33" s="18"/>
      <c r="B33" s="9" t="s">
        <v>172</v>
      </c>
      <c r="C33" s="247" t="s">
        <v>208</v>
      </c>
      <c r="D33" s="247"/>
      <c r="E33" s="247"/>
      <c r="F33" s="247"/>
      <c r="G33" s="247"/>
      <c r="H33" s="247"/>
      <c r="I33" s="247"/>
      <c r="J33" s="247"/>
      <c r="K33" s="247"/>
      <c r="L33" s="247"/>
    </row>
    <row r="34" spans="1:13" ht="6.6" customHeight="1" x14ac:dyDescent="0.2">
      <c r="A34" s="18"/>
      <c r="B34" s="9"/>
      <c r="C34" s="26"/>
      <c r="D34" s="26"/>
      <c r="E34" s="26"/>
      <c r="F34" s="26"/>
      <c r="G34" s="26"/>
      <c r="H34" s="26"/>
      <c r="I34" s="26"/>
      <c r="J34" s="26"/>
      <c r="K34" s="26"/>
      <c r="L34" s="26"/>
    </row>
    <row r="35" spans="1:13" ht="21" customHeight="1" x14ac:dyDescent="0.2">
      <c r="A35" s="18"/>
      <c r="B35" s="9" t="s">
        <v>173</v>
      </c>
      <c r="C35" s="247" t="s">
        <v>207</v>
      </c>
      <c r="D35" s="247"/>
      <c r="E35" s="247"/>
      <c r="F35" s="247"/>
      <c r="G35" s="247"/>
      <c r="H35" s="247"/>
      <c r="I35" s="247"/>
      <c r="J35" s="247"/>
      <c r="K35" s="247"/>
      <c r="L35" s="247"/>
    </row>
    <row r="36" spans="1:13" ht="6.6" customHeight="1" x14ac:dyDescent="0.2">
      <c r="A36" s="18"/>
      <c r="B36" s="9"/>
      <c r="C36" s="26"/>
      <c r="D36" s="26"/>
      <c r="E36" s="26"/>
      <c r="F36" s="26"/>
      <c r="G36" s="26"/>
      <c r="H36" s="26"/>
      <c r="I36" s="26"/>
      <c r="J36" s="26"/>
      <c r="K36" s="26"/>
      <c r="L36" s="26"/>
    </row>
    <row r="37" spans="1:13" ht="21" customHeight="1" x14ac:dyDescent="0.2">
      <c r="A37" s="18"/>
      <c r="B37" s="9" t="s">
        <v>174</v>
      </c>
      <c r="C37" s="247" t="s">
        <v>214</v>
      </c>
      <c r="D37" s="247"/>
      <c r="E37" s="247"/>
      <c r="F37" s="247"/>
      <c r="G37" s="247"/>
      <c r="H37" s="247"/>
      <c r="I37" s="247"/>
      <c r="J37" s="247"/>
      <c r="K37" s="247"/>
      <c r="L37" s="247"/>
    </row>
    <row r="38" spans="1:13" ht="6" customHeight="1" thickBot="1" x14ac:dyDescent="0.25">
      <c r="A38" s="18"/>
      <c r="B38" s="9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</row>
    <row r="39" spans="1:13" ht="17.45" customHeight="1" thickBot="1" x14ac:dyDescent="0.25">
      <c r="A39" s="19">
        <v>7</v>
      </c>
      <c r="B39" s="9"/>
      <c r="C39" s="247" t="s">
        <v>215</v>
      </c>
      <c r="D39" s="247"/>
      <c r="E39" s="247"/>
      <c r="F39" s="247"/>
      <c r="G39" s="247"/>
      <c r="H39" s="247"/>
      <c r="I39" s="247"/>
      <c r="J39" s="247"/>
      <c r="K39" s="247"/>
      <c r="L39" s="247"/>
      <c r="M39" s="9"/>
    </row>
    <row r="40" spans="1:13" ht="7.15" customHeight="1" thickBot="1" x14ac:dyDescent="0.25">
      <c r="A40" s="18"/>
      <c r="B40" s="9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9"/>
    </row>
    <row r="41" spans="1:13" ht="16.899999999999999" customHeight="1" thickBot="1" x14ac:dyDescent="0.25">
      <c r="A41" s="19">
        <v>8</v>
      </c>
      <c r="B41" s="9"/>
      <c r="C41" s="16" t="s">
        <v>216</v>
      </c>
      <c r="D41" s="26"/>
      <c r="E41" s="28" t="s">
        <v>217</v>
      </c>
      <c r="F41" s="26"/>
      <c r="G41" s="26"/>
      <c r="H41" s="26"/>
      <c r="I41" s="26"/>
      <c r="J41" s="26"/>
      <c r="K41" s="26"/>
      <c r="L41" s="26"/>
      <c r="M41" s="26"/>
    </row>
    <row r="42" spans="1:13" ht="7.15" customHeight="1" thickBot="1" x14ac:dyDescent="0.25">
      <c r="A42" s="18"/>
      <c r="B42" s="9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9"/>
    </row>
    <row r="43" spans="1:13" ht="22.5" customHeight="1" thickBot="1" x14ac:dyDescent="0.25">
      <c r="A43" s="19">
        <v>9</v>
      </c>
      <c r="B43" s="29"/>
      <c r="C43" s="247" t="s">
        <v>176</v>
      </c>
      <c r="D43" s="247"/>
      <c r="E43" s="247"/>
      <c r="F43" s="9" t="s">
        <v>11</v>
      </c>
      <c r="G43" s="248" t="s">
        <v>177</v>
      </c>
      <c r="H43" s="248"/>
      <c r="I43" s="26"/>
      <c r="J43" s="9" t="s">
        <v>13</v>
      </c>
      <c r="K43" s="248" t="s">
        <v>178</v>
      </c>
      <c r="L43" s="248"/>
      <c r="M43" s="26"/>
    </row>
    <row r="44" spans="1:13" ht="13.5" thickBot="1" x14ac:dyDescent="0.25">
      <c r="A44" s="18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13" ht="13.5" thickBot="1" x14ac:dyDescent="0.25">
      <c r="A45" s="19">
        <v>10</v>
      </c>
      <c r="B45" s="29"/>
      <c r="C45" s="9" t="s">
        <v>17</v>
      </c>
      <c r="D45" s="9"/>
      <c r="E45" s="9"/>
      <c r="F45" s="10" t="s">
        <v>18</v>
      </c>
      <c r="G45" s="30"/>
      <c r="H45" s="9"/>
      <c r="I45" s="10" t="s">
        <v>19</v>
      </c>
      <c r="J45" s="30"/>
      <c r="K45" s="10" t="s">
        <v>20</v>
      </c>
      <c r="L45" s="30"/>
    </row>
    <row r="46" spans="1:13" x14ac:dyDescent="0.2">
      <c r="A46" s="18"/>
      <c r="B46" s="9"/>
      <c r="C46" s="9"/>
      <c r="D46" s="9"/>
      <c r="E46" s="9"/>
      <c r="F46" s="10"/>
      <c r="G46" s="10"/>
      <c r="H46" s="9"/>
      <c r="I46" s="10"/>
      <c r="J46" s="10"/>
      <c r="K46" s="10"/>
      <c r="L46" s="10"/>
    </row>
    <row r="47" spans="1:13" ht="27.6" customHeight="1" x14ac:dyDescent="0.2">
      <c r="A47" s="18"/>
      <c r="B47" s="9"/>
      <c r="C47" s="249" t="s">
        <v>209</v>
      </c>
      <c r="D47" s="249"/>
      <c r="E47" s="249"/>
      <c r="F47" s="10"/>
      <c r="G47" s="30"/>
      <c r="H47" s="9"/>
      <c r="I47" s="10"/>
      <c r="J47" s="30"/>
      <c r="K47" s="10"/>
      <c r="L47" s="30"/>
    </row>
    <row r="48" spans="1:13" ht="13.5" thickBot="1" x14ac:dyDescent="0.25">
      <c r="A48" s="1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</row>
    <row r="49" spans="1:15" ht="13.5" thickBot="1" x14ac:dyDescent="0.25">
      <c r="A49" s="19">
        <v>11</v>
      </c>
      <c r="B49" s="29"/>
      <c r="C49" s="9" t="s">
        <v>21</v>
      </c>
      <c r="D49" s="9"/>
      <c r="E49" s="9"/>
      <c r="F49" s="9"/>
      <c r="G49" s="9"/>
      <c r="H49" s="9">
        <v>2</v>
      </c>
      <c r="I49" s="17" t="s">
        <v>22</v>
      </c>
      <c r="J49" s="9"/>
      <c r="K49" s="17" t="s">
        <v>23</v>
      </c>
      <c r="L49" s="9"/>
      <c r="M49" s="9"/>
    </row>
    <row r="50" spans="1:15" ht="13.5" thickBot="1" x14ac:dyDescent="0.25">
      <c r="A50" s="1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</row>
    <row r="51" spans="1:15" ht="13.5" thickBot="1" x14ac:dyDescent="0.25">
      <c r="A51" s="19">
        <v>12</v>
      </c>
      <c r="B51" s="9" t="s">
        <v>24</v>
      </c>
      <c r="D51" s="9"/>
      <c r="E51" s="9"/>
      <c r="F51" s="9"/>
      <c r="G51" s="9"/>
      <c r="H51" s="31"/>
      <c r="I51" s="31"/>
      <c r="J51" s="31"/>
      <c r="K51" s="31"/>
      <c r="L51" s="32"/>
      <c r="N51" s="32"/>
    </row>
    <row r="52" spans="1:15" ht="13.5" thickBot="1" x14ac:dyDescent="0.25">
      <c r="A52" s="18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</row>
    <row r="53" spans="1:15" ht="13.5" thickBot="1" x14ac:dyDescent="0.25">
      <c r="A53" s="19">
        <v>13</v>
      </c>
      <c r="B53" s="29"/>
      <c r="C53" s="9" t="s">
        <v>25</v>
      </c>
      <c r="D53" s="9"/>
      <c r="E53" s="9"/>
      <c r="F53" s="17"/>
      <c r="G53" s="9"/>
      <c r="H53" s="19">
        <v>14</v>
      </c>
      <c r="I53" s="9"/>
      <c r="J53" s="9" t="s">
        <v>165</v>
      </c>
      <c r="K53" s="9"/>
      <c r="L53" s="9"/>
      <c r="M53" s="17"/>
      <c r="O53" s="9"/>
    </row>
    <row r="54" spans="1:15" x14ac:dyDescent="0.2">
      <c r="A54" s="18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</row>
    <row r="55" spans="1:15" x14ac:dyDescent="0.2">
      <c r="H55" s="9">
        <v>4</v>
      </c>
      <c r="I55" s="9"/>
      <c r="J55" s="33"/>
      <c r="K55" s="33"/>
      <c r="L55" s="33"/>
      <c r="M55" s="34"/>
    </row>
    <row r="56" spans="1:15" x14ac:dyDescent="0.2">
      <c r="A56" s="246" t="s">
        <v>26</v>
      </c>
      <c r="B56" s="246"/>
      <c r="C56" s="246"/>
      <c r="D56" s="246"/>
      <c r="E56" s="246"/>
      <c r="F56" s="246"/>
      <c r="G56" s="246"/>
      <c r="H56" s="246"/>
      <c r="I56" s="246"/>
      <c r="J56" s="246"/>
      <c r="K56" s="246"/>
      <c r="L56" s="246"/>
      <c r="M56" s="246"/>
    </row>
    <row r="57" spans="1:15" x14ac:dyDescent="0.2">
      <c r="A57" s="9" t="s">
        <v>27</v>
      </c>
      <c r="B57" s="9"/>
      <c r="C57" s="9"/>
      <c r="D57" s="9" t="s">
        <v>28</v>
      </c>
      <c r="E57" s="9"/>
      <c r="F57" s="9"/>
      <c r="G57" s="9"/>
      <c r="H57" s="9"/>
      <c r="I57" s="9"/>
      <c r="J57" s="9"/>
      <c r="K57" s="9"/>
      <c r="L57" s="9"/>
      <c r="M57" s="9"/>
    </row>
    <row r="58" spans="1:15" x14ac:dyDescent="0.2">
      <c r="A58" s="9"/>
      <c r="B58" s="29" t="s">
        <v>29</v>
      </c>
      <c r="C58" s="9"/>
      <c r="D58" s="9" t="s">
        <v>30</v>
      </c>
      <c r="E58" s="9"/>
      <c r="F58" s="9"/>
      <c r="G58" s="9"/>
      <c r="H58" s="9"/>
      <c r="I58" s="9"/>
      <c r="J58" s="9"/>
      <c r="K58" s="9"/>
      <c r="L58" s="9"/>
      <c r="M58" s="9"/>
    </row>
    <row r="59" spans="1:15" x14ac:dyDescent="0.2">
      <c r="A59" s="9"/>
      <c r="B59" s="9"/>
      <c r="C59" s="9" t="s">
        <v>18</v>
      </c>
      <c r="D59" s="35" t="s">
        <v>31</v>
      </c>
      <c r="E59" s="36">
        <f>'Расчет ИПН'!R13+'Договора ГПХ'!R8</f>
        <v>64693.599999999999</v>
      </c>
      <c r="F59" s="9"/>
      <c r="G59" s="9" t="s">
        <v>32</v>
      </c>
      <c r="J59" s="37" t="s">
        <v>33</v>
      </c>
      <c r="K59" s="36">
        <f>E59+E61+E63</f>
        <v>141280.79999999999</v>
      </c>
      <c r="L59" s="9"/>
      <c r="M59" s="9"/>
    </row>
    <row r="60" spans="1:15" x14ac:dyDescent="0.2">
      <c r="A60" s="9"/>
      <c r="B60" s="9"/>
      <c r="C60" s="9"/>
      <c r="D60" s="8"/>
      <c r="E60" s="9"/>
      <c r="F60" s="9"/>
      <c r="G60" s="9"/>
      <c r="H60" s="9"/>
      <c r="I60" s="9"/>
      <c r="J60" s="9"/>
      <c r="K60" s="9"/>
      <c r="L60" s="9"/>
      <c r="M60" s="9"/>
    </row>
    <row r="61" spans="1:15" x14ac:dyDescent="0.2">
      <c r="A61" s="9"/>
      <c r="B61" s="9"/>
      <c r="C61" s="9" t="s">
        <v>19</v>
      </c>
      <c r="D61" s="35" t="s">
        <v>34</v>
      </c>
      <c r="E61" s="36">
        <f>'Расчет ИПН'!R17+'Договора ГПХ'!R12</f>
        <v>38293.599999999999</v>
      </c>
      <c r="F61" s="9"/>
      <c r="G61" s="9"/>
      <c r="H61" s="9"/>
      <c r="I61" s="9"/>
      <c r="J61" s="9"/>
      <c r="K61" s="9"/>
      <c r="L61" s="9"/>
      <c r="M61" s="9"/>
    </row>
    <row r="62" spans="1:15" x14ac:dyDescent="0.2">
      <c r="A62" s="9"/>
      <c r="B62" s="9"/>
      <c r="C62" s="9"/>
      <c r="D62" s="8"/>
      <c r="E62" s="9"/>
      <c r="F62" s="9"/>
      <c r="G62" s="9"/>
      <c r="H62" s="9"/>
      <c r="I62" s="9"/>
      <c r="J62" s="9"/>
      <c r="K62" s="9"/>
      <c r="L62" s="9"/>
      <c r="M62" s="9"/>
    </row>
    <row r="63" spans="1:15" x14ac:dyDescent="0.2">
      <c r="A63" s="9"/>
      <c r="B63" s="9"/>
      <c r="C63" s="9" t="s">
        <v>20</v>
      </c>
      <c r="D63" s="35" t="s">
        <v>35</v>
      </c>
      <c r="E63" s="36">
        <f>'Расчет ИПН'!R21+'Договора ГПХ'!R16</f>
        <v>38293.599999999999</v>
      </c>
      <c r="F63" s="9"/>
      <c r="G63" s="9"/>
      <c r="H63" s="9"/>
      <c r="I63" s="9"/>
      <c r="J63" s="9"/>
      <c r="K63" s="9"/>
      <c r="L63" s="9"/>
      <c r="M63" s="9"/>
    </row>
    <row r="64" spans="1:15" x14ac:dyDescent="0.2">
      <c r="A64" s="9"/>
      <c r="B64" s="8"/>
      <c r="C64" s="9"/>
      <c r="D64" s="38"/>
      <c r="E64" s="9"/>
      <c r="F64" s="9"/>
      <c r="G64" s="9"/>
      <c r="H64" s="9"/>
      <c r="I64" s="9"/>
      <c r="J64" s="9"/>
      <c r="K64" s="9"/>
      <c r="L64" s="9"/>
      <c r="M64" s="9"/>
    </row>
    <row r="65" spans="1:13" x14ac:dyDescent="0.2">
      <c r="A65" s="9"/>
      <c r="B65" s="29" t="s">
        <v>36</v>
      </c>
      <c r="C65" s="9"/>
      <c r="D65" s="9" t="s">
        <v>37</v>
      </c>
      <c r="E65" s="9"/>
      <c r="F65" s="9"/>
      <c r="G65" s="9"/>
      <c r="H65" s="9"/>
      <c r="I65" s="9"/>
      <c r="J65" s="9"/>
      <c r="K65" s="9"/>
      <c r="L65" s="9"/>
      <c r="M65" s="9"/>
    </row>
    <row r="66" spans="1:13" x14ac:dyDescent="0.2">
      <c r="B66" s="9"/>
      <c r="C66" s="9" t="s">
        <v>18</v>
      </c>
      <c r="D66" s="35" t="s">
        <v>31</v>
      </c>
      <c r="E66" s="36">
        <f>'Расчет ОПВ'!L13+'Договора ГПХ'!F8</f>
        <v>80000</v>
      </c>
      <c r="F66" s="9"/>
      <c r="G66" s="9" t="s">
        <v>32</v>
      </c>
      <c r="J66" s="37" t="s">
        <v>33</v>
      </c>
      <c r="K66" s="36">
        <f>E66+E68+E70</f>
        <v>180000</v>
      </c>
    </row>
    <row r="67" spans="1:13" x14ac:dyDescent="0.2">
      <c r="B67" s="9"/>
      <c r="C67" s="9"/>
      <c r="D67" s="8"/>
      <c r="E67" s="9"/>
      <c r="F67" s="9"/>
      <c r="G67" s="9"/>
      <c r="H67" s="9"/>
      <c r="I67" s="9"/>
    </row>
    <row r="68" spans="1:13" x14ac:dyDescent="0.2">
      <c r="B68" s="9"/>
      <c r="C68" s="9" t="s">
        <v>19</v>
      </c>
      <c r="D68" s="35" t="s">
        <v>34</v>
      </c>
      <c r="E68" s="36">
        <f>'Расчет ОПВ'!L17+'Договора ГПХ'!F12</f>
        <v>50000</v>
      </c>
      <c r="F68" s="9"/>
      <c r="G68" s="9"/>
      <c r="H68" s="9"/>
      <c r="I68" s="9"/>
    </row>
    <row r="69" spans="1:13" x14ac:dyDescent="0.2">
      <c r="B69" s="9"/>
      <c r="C69" s="9"/>
      <c r="D69" s="8"/>
      <c r="E69" s="9"/>
      <c r="F69" s="9"/>
      <c r="G69" s="9"/>
      <c r="H69" s="9"/>
      <c r="I69" s="9"/>
    </row>
    <row r="70" spans="1:13" x14ac:dyDescent="0.2">
      <c r="B70" s="9"/>
      <c r="C70" s="9" t="s">
        <v>20</v>
      </c>
      <c r="D70" s="35" t="s">
        <v>35</v>
      </c>
      <c r="E70" s="36">
        <f>'Расчет ОПВ'!L21+'Договора ГПХ'!F16</f>
        <v>50000</v>
      </c>
      <c r="F70" s="9"/>
      <c r="G70" s="9"/>
      <c r="H70" s="9"/>
      <c r="I70" s="9"/>
    </row>
    <row r="71" spans="1:13" x14ac:dyDescent="0.2">
      <c r="B71" s="8"/>
      <c r="C71" s="9"/>
      <c r="D71" s="38"/>
      <c r="E71" s="9"/>
      <c r="F71" s="9"/>
      <c r="G71" s="9"/>
      <c r="H71" s="9"/>
      <c r="I71" s="9"/>
    </row>
    <row r="72" spans="1:13" x14ac:dyDescent="0.2">
      <c r="B72" s="29" t="s">
        <v>38</v>
      </c>
      <c r="C72" s="9"/>
      <c r="D72" s="9" t="s">
        <v>39</v>
      </c>
      <c r="E72" s="9"/>
      <c r="F72" s="9"/>
      <c r="G72" s="9"/>
      <c r="H72" s="9"/>
      <c r="I72" s="9"/>
    </row>
    <row r="73" spans="1:13" x14ac:dyDescent="0.2">
      <c r="B73" s="18"/>
      <c r="C73" s="9" t="s">
        <v>18</v>
      </c>
      <c r="D73" s="35" t="s">
        <v>31</v>
      </c>
      <c r="E73" s="30"/>
      <c r="F73" s="9"/>
      <c r="G73" s="37" t="s">
        <v>20</v>
      </c>
      <c r="J73" s="39" t="s">
        <v>35</v>
      </c>
      <c r="K73" s="30"/>
    </row>
    <row r="74" spans="1:13" x14ac:dyDescent="0.2">
      <c r="B74" s="8"/>
      <c r="C74" s="9"/>
      <c r="D74" s="8"/>
      <c r="E74" s="9"/>
      <c r="F74" s="9"/>
      <c r="G74" s="9"/>
      <c r="H74" s="9"/>
      <c r="I74" s="9"/>
    </row>
    <row r="75" spans="1:13" x14ac:dyDescent="0.2">
      <c r="B75" s="18"/>
      <c r="C75" s="9" t="s">
        <v>19</v>
      </c>
      <c r="D75" s="35" t="s">
        <v>34</v>
      </c>
      <c r="E75" s="30"/>
      <c r="F75" s="9"/>
      <c r="G75" s="9" t="s">
        <v>32</v>
      </c>
      <c r="J75" s="37" t="s">
        <v>33</v>
      </c>
      <c r="K75" s="30"/>
    </row>
    <row r="76" spans="1:13" x14ac:dyDescent="0.2">
      <c r="B76" s="8"/>
      <c r="C76" s="9"/>
      <c r="D76" s="38"/>
      <c r="E76" s="9"/>
      <c r="F76" s="9"/>
      <c r="G76" s="9"/>
      <c r="H76" s="9"/>
      <c r="I76" s="9"/>
    </row>
    <row r="77" spans="1:13" x14ac:dyDescent="0.2">
      <c r="B77" s="8"/>
      <c r="C77" s="9"/>
      <c r="D77" s="38"/>
      <c r="E77" s="9"/>
      <c r="F77" s="9"/>
      <c r="G77" s="9"/>
      <c r="H77" s="9"/>
      <c r="I77" s="9"/>
    </row>
    <row r="78" spans="1:13" x14ac:dyDescent="0.2">
      <c r="B78" s="33" t="s">
        <v>40</v>
      </c>
      <c r="C78" s="9"/>
      <c r="D78" s="9" t="s">
        <v>41</v>
      </c>
      <c r="E78" s="9"/>
      <c r="F78" s="9"/>
      <c r="G78" s="9"/>
      <c r="H78" s="9"/>
      <c r="I78" s="9"/>
    </row>
    <row r="79" spans="1:13" x14ac:dyDescent="0.2">
      <c r="B79" s="18"/>
      <c r="C79" s="9" t="s">
        <v>18</v>
      </c>
      <c r="D79" s="35" t="s">
        <v>31</v>
      </c>
      <c r="E79" s="36">
        <f>'200.01'!E62*10%</f>
        <v>20000</v>
      </c>
      <c r="F79" s="9"/>
      <c r="G79" s="9" t="s">
        <v>20</v>
      </c>
      <c r="J79" s="39" t="s">
        <v>35</v>
      </c>
      <c r="K79" s="36">
        <f>'200.01'!K62*10%</f>
        <v>20000</v>
      </c>
    </row>
    <row r="80" spans="1:13" x14ac:dyDescent="0.2">
      <c r="B80" s="8"/>
      <c r="C80" s="9"/>
      <c r="D80" s="8"/>
      <c r="E80" s="9"/>
      <c r="F80" s="9"/>
      <c r="G80" s="9"/>
      <c r="H80" s="9"/>
      <c r="I80" s="9"/>
    </row>
    <row r="81" spans="2:11" x14ac:dyDescent="0.2">
      <c r="B81" s="18"/>
      <c r="C81" s="9" t="s">
        <v>19</v>
      </c>
      <c r="D81" s="35" t="s">
        <v>34</v>
      </c>
      <c r="E81" s="36">
        <f>'200.01'!E64*10%</f>
        <v>20000</v>
      </c>
      <c r="F81" s="9"/>
      <c r="G81" s="9" t="s">
        <v>32</v>
      </c>
      <c r="J81" s="37" t="s">
        <v>33</v>
      </c>
      <c r="K81" s="36">
        <f>K79+E81+E79</f>
        <v>60000</v>
      </c>
    </row>
    <row r="82" spans="2:11" x14ac:dyDescent="0.2">
      <c r="B82" s="8"/>
      <c r="C82" s="9"/>
      <c r="D82" s="38"/>
      <c r="E82" s="9"/>
      <c r="F82" s="9"/>
      <c r="G82" s="9"/>
      <c r="H82" s="9"/>
      <c r="I82" s="9"/>
    </row>
    <row r="83" spans="2:11" x14ac:dyDescent="0.2">
      <c r="B83" s="33" t="s">
        <v>42</v>
      </c>
      <c r="C83" s="9"/>
      <c r="D83" s="9" t="s">
        <v>161</v>
      </c>
      <c r="E83" s="9"/>
      <c r="F83" s="9"/>
      <c r="G83" s="9"/>
      <c r="H83" s="9"/>
      <c r="I83" s="9"/>
    </row>
    <row r="84" spans="2:11" x14ac:dyDescent="0.2">
      <c r="B84" s="18"/>
      <c r="C84" s="9" t="s">
        <v>18</v>
      </c>
      <c r="D84" s="35" t="s">
        <v>31</v>
      </c>
      <c r="E84" s="30"/>
      <c r="F84" s="9"/>
      <c r="G84" s="37" t="s">
        <v>20</v>
      </c>
      <c r="J84" s="39" t="s">
        <v>35</v>
      </c>
      <c r="K84" s="30"/>
    </row>
    <row r="85" spans="2:11" x14ac:dyDescent="0.2">
      <c r="B85" s="8"/>
      <c r="C85" s="9"/>
      <c r="D85" s="8"/>
      <c r="E85" s="9"/>
      <c r="F85" s="9"/>
      <c r="G85" s="9"/>
      <c r="H85" s="9"/>
      <c r="I85" s="9"/>
    </row>
    <row r="86" spans="2:11" x14ac:dyDescent="0.2">
      <c r="B86" s="18"/>
      <c r="C86" s="9" t="s">
        <v>19</v>
      </c>
      <c r="D86" s="35" t="s">
        <v>34</v>
      </c>
      <c r="E86" s="30"/>
      <c r="F86" s="9"/>
      <c r="G86" s="9" t="s">
        <v>32</v>
      </c>
      <c r="J86" s="37" t="s">
        <v>33</v>
      </c>
      <c r="K86" s="36">
        <f>E84+E86+K84</f>
        <v>0</v>
      </c>
    </row>
    <row r="87" spans="2:11" x14ac:dyDescent="0.2">
      <c r="B87" s="8"/>
      <c r="C87" s="9"/>
      <c r="D87" s="38"/>
      <c r="E87" s="9"/>
      <c r="F87" s="9"/>
      <c r="G87" s="9"/>
      <c r="H87" s="9"/>
      <c r="I87" s="9"/>
    </row>
    <row r="88" spans="2:11" x14ac:dyDescent="0.2">
      <c r="B88" s="33" t="s">
        <v>43</v>
      </c>
      <c r="C88" s="9"/>
      <c r="D88" s="9" t="s">
        <v>162</v>
      </c>
      <c r="E88" s="9"/>
      <c r="F88" s="9"/>
      <c r="G88" s="9"/>
      <c r="H88" s="9"/>
      <c r="I88" s="9"/>
    </row>
    <row r="89" spans="2:11" x14ac:dyDescent="0.2">
      <c r="B89" s="18"/>
      <c r="C89" s="9" t="s">
        <v>18</v>
      </c>
      <c r="D89" s="35" t="s">
        <v>31</v>
      </c>
      <c r="E89" s="9"/>
      <c r="F89" s="9"/>
      <c r="G89" s="37" t="s">
        <v>20</v>
      </c>
      <c r="J89" s="39" t="s">
        <v>35</v>
      </c>
      <c r="K89" s="9"/>
    </row>
    <row r="90" spans="2:11" x14ac:dyDescent="0.2">
      <c r="B90" s="8"/>
      <c r="C90" s="9"/>
      <c r="D90" s="8"/>
      <c r="E90" s="9"/>
      <c r="F90" s="9"/>
      <c r="G90" s="9"/>
      <c r="H90" s="9"/>
      <c r="I90" s="9"/>
    </row>
    <row r="91" spans="2:11" x14ac:dyDescent="0.2">
      <c r="B91" s="18"/>
      <c r="C91" s="9" t="s">
        <v>19</v>
      </c>
      <c r="D91" s="35" t="s">
        <v>34</v>
      </c>
      <c r="E91" s="9"/>
      <c r="F91" s="9"/>
      <c r="G91" s="9" t="s">
        <v>32</v>
      </c>
      <c r="J91" s="37" t="s">
        <v>33</v>
      </c>
      <c r="K91" s="37">
        <v>0</v>
      </c>
    </row>
    <row r="92" spans="2:11" x14ac:dyDescent="0.2">
      <c r="B92" s="8"/>
      <c r="C92" s="9"/>
      <c r="D92" s="38"/>
      <c r="E92" s="9"/>
      <c r="F92" s="9"/>
      <c r="G92" s="9"/>
      <c r="H92" s="9"/>
      <c r="I92" s="9"/>
    </row>
    <row r="93" spans="2:11" x14ac:dyDescent="0.2">
      <c r="B93" s="33" t="s">
        <v>44</v>
      </c>
      <c r="C93" s="9"/>
      <c r="D93" s="9" t="s">
        <v>163</v>
      </c>
      <c r="E93" s="9"/>
      <c r="F93" s="9"/>
      <c r="G93" s="9"/>
      <c r="H93" s="9"/>
      <c r="I93" s="9"/>
    </row>
    <row r="94" spans="2:11" x14ac:dyDescent="0.2">
      <c r="B94" s="18"/>
      <c r="C94" s="9" t="s">
        <v>18</v>
      </c>
      <c r="D94" s="35" t="s">
        <v>31</v>
      </c>
      <c r="E94" s="36">
        <f>IF(2*'Расчетные показатели'!B9+'Расчет СН'!G14-E104&gt;0,2*'Расчетные показатели'!B9+'Расчет СН'!G14-E104,0)</f>
        <v>4775.9999999999991</v>
      </c>
      <c r="F94" s="9"/>
      <c r="G94" s="37" t="s">
        <v>20</v>
      </c>
      <c r="J94" s="39" t="s">
        <v>35</v>
      </c>
      <c r="K94" s="36">
        <f>IF(2*'Расчетные показатели'!B9+'Расчет СН'!G22-K104&gt;0,2*'Расчетные показатели'!B9+'Расчет СН'!G22-K104,0)</f>
        <v>4775.9999999999991</v>
      </c>
    </row>
    <row r="95" spans="2:11" x14ac:dyDescent="0.2">
      <c r="B95" s="8"/>
      <c r="C95" s="9"/>
      <c r="D95" s="8"/>
      <c r="E95" s="9"/>
      <c r="F95" s="9"/>
      <c r="G95" s="9"/>
      <c r="H95" s="9"/>
      <c r="I95" s="9"/>
    </row>
    <row r="96" spans="2:11" x14ac:dyDescent="0.2">
      <c r="B96" s="18"/>
      <c r="C96" s="9" t="s">
        <v>19</v>
      </c>
      <c r="D96" s="35" t="s">
        <v>34</v>
      </c>
      <c r="E96" s="36">
        <f>IF(2*'Расчетные показатели'!B9+'Расчет СН'!G18-E106&gt;0,2*'Расчетные показатели'!B9+'Расчет СН'!G18-E106,0)</f>
        <v>4775.9999999999991</v>
      </c>
      <c r="F96" s="9"/>
      <c r="G96" s="9" t="s">
        <v>32</v>
      </c>
      <c r="J96" s="37" t="s">
        <v>33</v>
      </c>
      <c r="K96" s="36">
        <f>E94+E96+K94</f>
        <v>14327.999999999996</v>
      </c>
    </row>
    <row r="97" spans="1:13" x14ac:dyDescent="0.2">
      <c r="B97" s="8"/>
      <c r="C97" s="9"/>
      <c r="D97" s="38"/>
      <c r="E97" s="9"/>
      <c r="F97" s="9"/>
      <c r="G97" s="9"/>
      <c r="H97" s="9"/>
      <c r="I97" s="9"/>
    </row>
    <row r="98" spans="1:13" x14ac:dyDescent="0.2">
      <c r="B98" s="33" t="s">
        <v>45</v>
      </c>
      <c r="C98" s="9"/>
      <c r="D98" s="9" t="s">
        <v>46</v>
      </c>
      <c r="E98" s="9"/>
      <c r="F98" s="9"/>
      <c r="G98" s="9"/>
      <c r="H98" s="9"/>
      <c r="I98" s="9"/>
    </row>
    <row r="99" spans="1:13" x14ac:dyDescent="0.2">
      <c r="A99" s="9"/>
      <c r="B99" s="18"/>
      <c r="C99" s="9" t="s">
        <v>18</v>
      </c>
      <c r="D99" s="35" t="s">
        <v>31</v>
      </c>
      <c r="E99" s="36">
        <f>'Расчет СО и ОСМС'!I13</f>
        <v>15750</v>
      </c>
      <c r="F99" s="9"/>
      <c r="G99" s="37" t="s">
        <v>20</v>
      </c>
      <c r="J99" s="39" t="s">
        <v>35</v>
      </c>
      <c r="K99" s="36">
        <f>'Расчет СО и ОСМС'!I21</f>
        <v>15750</v>
      </c>
      <c r="L99" s="9"/>
      <c r="M99" s="9"/>
    </row>
    <row r="100" spans="1:13" x14ac:dyDescent="0.2">
      <c r="A100" s="9"/>
      <c r="B100" s="8"/>
      <c r="C100" s="9"/>
      <c r="D100" s="8"/>
      <c r="E100" s="9"/>
      <c r="F100" s="9"/>
      <c r="G100" s="9"/>
      <c r="H100" s="9"/>
      <c r="I100" s="9"/>
      <c r="J100" s="9"/>
      <c r="K100" s="9"/>
      <c r="L100" s="9"/>
      <c r="M100" s="9"/>
    </row>
    <row r="101" spans="1:13" x14ac:dyDescent="0.2">
      <c r="A101" s="9"/>
      <c r="B101" s="18"/>
      <c r="C101" s="9" t="s">
        <v>19</v>
      </c>
      <c r="D101" s="35" t="s">
        <v>34</v>
      </c>
      <c r="E101" s="36">
        <f>'Расчет СО и ОСМС'!I17</f>
        <v>15750</v>
      </c>
      <c r="F101" s="9"/>
      <c r="G101" s="9" t="s">
        <v>32</v>
      </c>
      <c r="J101" s="37" t="s">
        <v>33</v>
      </c>
      <c r="K101" s="36">
        <f>K99+E101+E99</f>
        <v>47250</v>
      </c>
      <c r="L101" s="9"/>
      <c r="M101" s="9"/>
    </row>
    <row r="102" spans="1:13" x14ac:dyDescent="0.2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</row>
    <row r="103" spans="1:13" x14ac:dyDescent="0.2">
      <c r="A103" s="9"/>
      <c r="B103" s="33" t="s">
        <v>47</v>
      </c>
      <c r="C103" s="9"/>
      <c r="D103" s="9" t="s">
        <v>48</v>
      </c>
      <c r="E103" s="9"/>
      <c r="F103" s="9"/>
      <c r="G103" s="9"/>
      <c r="H103" s="9"/>
      <c r="I103" s="9"/>
      <c r="J103" s="9"/>
      <c r="K103" s="9"/>
      <c r="L103" s="9"/>
      <c r="M103" s="9"/>
    </row>
    <row r="104" spans="1:13" x14ac:dyDescent="0.2">
      <c r="A104" s="9"/>
      <c r="B104" s="18"/>
      <c r="C104" s="9" t="s">
        <v>18</v>
      </c>
      <c r="D104" s="35" t="s">
        <v>31</v>
      </c>
      <c r="E104" s="36">
        <f>'200.01'!E96*3.5%</f>
        <v>6300.0000000000009</v>
      </c>
      <c r="F104" s="9"/>
      <c r="G104" s="37" t="s">
        <v>20</v>
      </c>
      <c r="J104" s="39" t="s">
        <v>35</v>
      </c>
      <c r="K104" s="36">
        <f>'200.01'!E100*3.5%</f>
        <v>6300.0000000000009</v>
      </c>
      <c r="L104" s="9"/>
      <c r="M104" s="9"/>
    </row>
    <row r="105" spans="1:13" x14ac:dyDescent="0.2">
      <c r="A105" s="9"/>
      <c r="B105" s="8"/>
      <c r="C105" s="9"/>
      <c r="D105" s="8"/>
      <c r="E105" s="9"/>
      <c r="F105" s="9"/>
      <c r="G105" s="9"/>
      <c r="H105" s="9"/>
      <c r="I105" s="9"/>
      <c r="J105" s="9"/>
      <c r="K105" s="9"/>
      <c r="L105" s="9"/>
      <c r="M105" s="9"/>
    </row>
    <row r="106" spans="1:13" x14ac:dyDescent="0.2">
      <c r="A106" s="9"/>
      <c r="B106" s="18"/>
      <c r="C106" s="9" t="s">
        <v>19</v>
      </c>
      <c r="D106" s="35" t="s">
        <v>34</v>
      </c>
      <c r="E106" s="36">
        <f>'200.01'!E98*3.5%</f>
        <v>6300.0000000000009</v>
      </c>
      <c r="F106" s="9"/>
      <c r="G106" s="9" t="s">
        <v>32</v>
      </c>
      <c r="J106" s="37" t="s">
        <v>33</v>
      </c>
      <c r="K106" s="36">
        <f>K104+E106+E104</f>
        <v>18900.000000000004</v>
      </c>
      <c r="L106" s="9"/>
      <c r="M106" s="9"/>
    </row>
    <row r="107" spans="1:13" x14ac:dyDescent="0.2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</row>
    <row r="108" spans="1:13" x14ac:dyDescent="0.2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</row>
    <row r="109" spans="1:13" x14ac:dyDescent="0.2">
      <c r="A109" s="9"/>
      <c r="B109" s="33" t="s">
        <v>135</v>
      </c>
      <c r="C109" s="9"/>
      <c r="D109" s="9" t="s">
        <v>136</v>
      </c>
      <c r="E109" s="9"/>
      <c r="F109" s="9"/>
      <c r="G109" s="9"/>
      <c r="H109" s="9"/>
      <c r="I109" s="9"/>
      <c r="J109" s="9"/>
      <c r="K109" s="9"/>
      <c r="L109" s="9"/>
      <c r="M109" s="9"/>
    </row>
    <row r="110" spans="1:13" x14ac:dyDescent="0.2">
      <c r="A110" s="9"/>
      <c r="B110" s="18"/>
      <c r="C110" s="9" t="s">
        <v>18</v>
      </c>
      <c r="D110" s="18"/>
      <c r="E110" s="36">
        <f>'Расчет СО и ОСМС'!M13</f>
        <v>15000</v>
      </c>
      <c r="F110" s="9"/>
      <c r="G110" s="37" t="s">
        <v>20</v>
      </c>
      <c r="J110" s="8"/>
      <c r="K110" s="36">
        <f>'Расчет СО и ОСМС'!M21</f>
        <v>15000</v>
      </c>
      <c r="L110" s="9"/>
      <c r="M110" s="9"/>
    </row>
    <row r="111" spans="1:13" x14ac:dyDescent="0.2">
      <c r="A111" s="9"/>
      <c r="B111" s="8"/>
      <c r="C111" s="9"/>
      <c r="D111" s="8"/>
      <c r="E111" s="9"/>
      <c r="F111" s="9"/>
      <c r="G111" s="9"/>
      <c r="H111" s="9"/>
      <c r="I111" s="9"/>
      <c r="J111" s="9"/>
      <c r="K111" s="9"/>
      <c r="L111" s="9"/>
      <c r="M111" s="9"/>
    </row>
    <row r="112" spans="1:13" x14ac:dyDescent="0.2">
      <c r="A112" s="9"/>
      <c r="B112" s="18"/>
      <c r="C112" s="9" t="s">
        <v>19</v>
      </c>
      <c r="D112" s="18"/>
      <c r="E112" s="36">
        <f>'Расчет СО и ОСМС'!M17</f>
        <v>15000</v>
      </c>
      <c r="F112" s="9"/>
      <c r="G112" s="9" t="s">
        <v>32</v>
      </c>
      <c r="J112" s="9"/>
      <c r="K112" s="36">
        <f>K110+E112+E110</f>
        <v>45000</v>
      </c>
      <c r="L112" s="9"/>
      <c r="M112" s="9"/>
    </row>
    <row r="113" spans="1:13" x14ac:dyDescent="0.2">
      <c r="A113" s="9"/>
      <c r="B113" s="33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</row>
    <row r="114" spans="1:13" x14ac:dyDescent="0.2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</row>
    <row r="115" spans="1:13" x14ac:dyDescent="0.2">
      <c r="A115" s="9"/>
      <c r="B115" s="33" t="s">
        <v>137</v>
      </c>
      <c r="C115" s="9"/>
      <c r="D115" s="9" t="s">
        <v>138</v>
      </c>
      <c r="E115" s="9"/>
      <c r="F115" s="9"/>
      <c r="G115" s="9"/>
      <c r="H115" s="9"/>
      <c r="I115" s="9"/>
      <c r="J115" s="9"/>
      <c r="K115" s="9"/>
      <c r="L115" s="9"/>
      <c r="M115" s="9"/>
    </row>
    <row r="116" spans="1:13" x14ac:dyDescent="0.2">
      <c r="A116" s="9"/>
      <c r="B116" s="18"/>
      <c r="C116" s="9" t="s">
        <v>18</v>
      </c>
      <c r="D116" s="18"/>
      <c r="E116" s="36">
        <f>'Договора ГПХ'!X8+'Расчет ОПВ'!R13</f>
        <v>18000</v>
      </c>
      <c r="F116" s="9"/>
      <c r="G116" s="37" t="s">
        <v>20</v>
      </c>
      <c r="J116" s="8"/>
      <c r="K116" s="36">
        <f>'Расчет ОПВ'!R21+'Договора ГПХ'!X16</f>
        <v>12000</v>
      </c>
      <c r="L116" s="9"/>
      <c r="M116" s="9"/>
    </row>
    <row r="117" spans="1:13" x14ac:dyDescent="0.2">
      <c r="A117" s="9"/>
      <c r="B117" s="8"/>
      <c r="C117" s="9"/>
      <c r="D117" s="8"/>
      <c r="E117" s="9"/>
      <c r="F117" s="9"/>
      <c r="G117" s="9"/>
      <c r="H117" s="9"/>
      <c r="I117" s="9"/>
      <c r="J117" s="9"/>
      <c r="K117" s="9"/>
      <c r="L117" s="9"/>
      <c r="M117" s="9"/>
    </row>
    <row r="118" spans="1:13" x14ac:dyDescent="0.2">
      <c r="A118" s="9"/>
      <c r="B118" s="18"/>
      <c r="C118" s="9" t="s">
        <v>19</v>
      </c>
      <c r="D118" s="18"/>
      <c r="E118" s="36">
        <f>'Расчет ОПВ'!R17+'Договора ГПХ'!X2</f>
        <v>12000</v>
      </c>
      <c r="F118" s="9"/>
      <c r="G118" s="9" t="s">
        <v>32</v>
      </c>
      <c r="J118" s="9"/>
      <c r="K118" s="36">
        <f>K116+E118+E116</f>
        <v>42000</v>
      </c>
      <c r="L118" s="9"/>
      <c r="M118" s="9"/>
    </row>
    <row r="119" spans="1:13" x14ac:dyDescent="0.2">
      <c r="A119" s="9"/>
      <c r="B119" s="33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</row>
    <row r="120" spans="1:13" x14ac:dyDescent="0.2">
      <c r="A120" s="9"/>
      <c r="B120" s="33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</row>
    <row r="121" spans="1:13" x14ac:dyDescent="0.2">
      <c r="A121" s="9"/>
      <c r="B121" s="33" t="s">
        <v>201</v>
      </c>
      <c r="C121" s="9"/>
      <c r="D121" s="9" t="s">
        <v>202</v>
      </c>
      <c r="E121" s="9"/>
      <c r="F121" s="9"/>
      <c r="G121" s="9"/>
      <c r="H121" s="9"/>
      <c r="I121" s="9"/>
      <c r="J121" s="9"/>
      <c r="K121" s="9"/>
      <c r="L121" s="9"/>
      <c r="M121" s="9"/>
    </row>
    <row r="122" spans="1:13" x14ac:dyDescent="0.2">
      <c r="A122" s="9"/>
      <c r="B122" s="18"/>
      <c r="C122" s="9" t="s">
        <v>18</v>
      </c>
      <c r="D122" s="18"/>
      <c r="E122" s="36">
        <f>('Расчетные показатели'!B$2*1.4)*5%</f>
        <v>5950</v>
      </c>
      <c r="F122" s="9"/>
      <c r="G122" s="37" t="s">
        <v>20</v>
      </c>
      <c r="J122" s="8"/>
      <c r="K122" s="36">
        <f>('Расчетные показатели'!B$2*1.4)*5%</f>
        <v>5950</v>
      </c>
      <c r="L122" s="9"/>
      <c r="M122" s="9"/>
    </row>
    <row r="123" spans="1:13" x14ac:dyDescent="0.2">
      <c r="A123" s="9"/>
      <c r="B123" s="8"/>
      <c r="C123" s="9"/>
      <c r="D123" s="8"/>
      <c r="E123" s="9"/>
      <c r="F123" s="9"/>
      <c r="G123" s="9"/>
      <c r="H123" s="9"/>
      <c r="I123" s="9"/>
      <c r="J123" s="9"/>
      <c r="K123" s="9"/>
      <c r="L123" s="9"/>
      <c r="M123" s="9"/>
    </row>
    <row r="124" spans="1:13" x14ac:dyDescent="0.2">
      <c r="A124" s="9"/>
      <c r="B124" s="18"/>
      <c r="C124" s="9" t="s">
        <v>19</v>
      </c>
      <c r="D124" s="18"/>
      <c r="E124" s="36">
        <f>('Расчетные показатели'!B$2*1.4)*5%</f>
        <v>5950</v>
      </c>
      <c r="F124" s="9"/>
      <c r="G124" s="9" t="s">
        <v>32</v>
      </c>
      <c r="J124" s="9"/>
      <c r="K124" s="36">
        <f>K122+E124+E122</f>
        <v>17850</v>
      </c>
      <c r="L124" s="9"/>
      <c r="M124" s="9"/>
    </row>
    <row r="125" spans="1:13" x14ac:dyDescent="0.2">
      <c r="A125" s="9"/>
      <c r="B125" s="33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</row>
    <row r="126" spans="1:13" x14ac:dyDescent="0.2">
      <c r="A126" s="9"/>
      <c r="B126" s="33" t="s">
        <v>218</v>
      </c>
      <c r="C126" s="9"/>
      <c r="D126" s="9" t="s">
        <v>220</v>
      </c>
      <c r="E126" s="9"/>
      <c r="F126" s="9"/>
      <c r="G126" s="9"/>
      <c r="H126" s="9"/>
      <c r="I126" s="9"/>
      <c r="J126" s="9"/>
      <c r="K126" s="9"/>
      <c r="L126" s="9"/>
      <c r="M126" s="9"/>
    </row>
    <row r="127" spans="1:13" x14ac:dyDescent="0.2">
      <c r="A127" s="9"/>
      <c r="B127" s="18"/>
      <c r="C127" s="9" t="s">
        <v>18</v>
      </c>
      <c r="D127" s="18"/>
      <c r="E127" s="36">
        <f>'Расчет ОПВ'!S13+'200.01'!E62*1.5/100</f>
        <v>10500</v>
      </c>
      <c r="F127" s="9"/>
      <c r="G127" s="37" t="s">
        <v>20</v>
      </c>
      <c r="J127" s="8"/>
      <c r="K127" s="36">
        <f>'Расчет ОПВ'!S21+'200.01'!E62*1.5/100</f>
        <v>10500</v>
      </c>
      <c r="L127" s="9"/>
      <c r="M127" s="9"/>
    </row>
    <row r="128" spans="1:13" x14ac:dyDescent="0.2">
      <c r="A128" s="9"/>
      <c r="B128" s="8"/>
      <c r="C128" s="9"/>
      <c r="D128" s="8"/>
      <c r="E128" s="9"/>
      <c r="F128" s="9"/>
      <c r="G128" s="9"/>
      <c r="H128" s="9"/>
      <c r="I128" s="9"/>
      <c r="J128" s="9"/>
      <c r="K128" s="9"/>
      <c r="L128" s="9"/>
      <c r="M128" s="9"/>
    </row>
    <row r="129" spans="1:41" x14ac:dyDescent="0.2">
      <c r="A129" s="9"/>
      <c r="B129" s="18"/>
      <c r="C129" s="9" t="s">
        <v>19</v>
      </c>
      <c r="D129" s="18"/>
      <c r="E129" s="36">
        <f>'Расчет ОПВ'!S17+'200.01'!E62*1.5/100</f>
        <v>10500</v>
      </c>
      <c r="F129" s="9"/>
      <c r="G129" s="9" t="s">
        <v>32</v>
      </c>
      <c r="J129" s="9"/>
      <c r="K129" s="36">
        <f>K127+E129+E127</f>
        <v>31500</v>
      </c>
      <c r="L129" s="9"/>
      <c r="M129" s="9"/>
    </row>
    <row r="130" spans="1:41" x14ac:dyDescent="0.2">
      <c r="A130" s="9"/>
      <c r="B130" s="33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</row>
    <row r="131" spans="1:41" x14ac:dyDescent="0.2">
      <c r="A131" s="9"/>
      <c r="B131" s="33" t="s">
        <v>219</v>
      </c>
      <c r="C131" s="9"/>
      <c r="D131" s="9" t="s">
        <v>221</v>
      </c>
      <c r="E131" s="9"/>
      <c r="F131" s="9"/>
      <c r="G131" s="9"/>
      <c r="H131" s="9"/>
      <c r="I131" s="9"/>
      <c r="J131" s="9"/>
      <c r="K131" s="9"/>
      <c r="L131" s="9"/>
      <c r="M131" s="9"/>
    </row>
    <row r="132" spans="1:41" x14ac:dyDescent="0.2">
      <c r="A132" s="9"/>
      <c r="B132" s="18"/>
      <c r="C132" s="9" t="s">
        <v>18</v>
      </c>
      <c r="D132" s="18"/>
      <c r="E132" s="36">
        <f>'Единый платеж'!Y11</f>
        <v>0</v>
      </c>
      <c r="F132" s="9"/>
      <c r="G132" s="37" t="s">
        <v>20</v>
      </c>
      <c r="J132" s="8"/>
      <c r="K132" s="36">
        <f>'Единый платеж'!Y19</f>
        <v>0</v>
      </c>
      <c r="L132" s="9"/>
      <c r="M132" s="9"/>
    </row>
    <row r="133" spans="1:41" x14ac:dyDescent="0.2">
      <c r="A133" s="9"/>
      <c r="B133" s="8"/>
      <c r="C133" s="9"/>
      <c r="D133" s="8"/>
      <c r="E133" s="9"/>
      <c r="F133" s="9"/>
      <c r="G133" s="9"/>
      <c r="H133" s="9"/>
      <c r="I133" s="9"/>
      <c r="J133" s="9"/>
      <c r="K133" s="9"/>
      <c r="L133" s="9"/>
      <c r="M133" s="9"/>
    </row>
    <row r="134" spans="1:41" x14ac:dyDescent="0.2">
      <c r="A134" s="9"/>
      <c r="B134" s="18"/>
      <c r="C134" s="9" t="s">
        <v>19</v>
      </c>
      <c r="D134" s="18"/>
      <c r="E134" s="36">
        <f>'Единый платеж'!Y15</f>
        <v>0</v>
      </c>
      <c r="F134" s="9"/>
      <c r="G134" s="9" t="s">
        <v>32</v>
      </c>
      <c r="J134" s="9"/>
      <c r="K134" s="36">
        <f>K132+E134+E132</f>
        <v>0</v>
      </c>
      <c r="L134" s="9"/>
      <c r="M134" s="9"/>
    </row>
    <row r="135" spans="1:41" x14ac:dyDescent="0.2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</row>
    <row r="136" spans="1:41" ht="47.25" customHeight="1" x14ac:dyDescent="0.2">
      <c r="B136" s="212" t="s">
        <v>259</v>
      </c>
      <c r="C136" s="212"/>
      <c r="D136" s="212"/>
      <c r="E136" s="212"/>
      <c r="F136" s="212"/>
      <c r="G136" s="212"/>
      <c r="H136" s="212"/>
      <c r="I136" s="212"/>
      <c r="J136" s="212"/>
      <c r="K136" s="212"/>
      <c r="L136" s="212"/>
      <c r="M136" s="212"/>
      <c r="N136" s="212"/>
      <c r="O136" s="212"/>
      <c r="P136" s="212"/>
      <c r="Q136" s="212"/>
      <c r="R136" s="212"/>
      <c r="S136" s="202"/>
      <c r="T136" s="202"/>
      <c r="U136" s="202"/>
      <c r="V136" s="202"/>
      <c r="W136" s="202"/>
      <c r="X136" s="202"/>
      <c r="Y136" s="202"/>
      <c r="Z136" s="202"/>
      <c r="AA136" s="202"/>
      <c r="AB136" s="202"/>
      <c r="AC136" s="202"/>
      <c r="AD136" s="202"/>
      <c r="AE136" s="202"/>
      <c r="AF136" s="202"/>
      <c r="AG136" s="202"/>
      <c r="AH136" s="202"/>
      <c r="AI136" s="202"/>
      <c r="AJ136" s="202"/>
      <c r="AK136" s="202"/>
      <c r="AL136" s="202"/>
      <c r="AM136" s="202"/>
      <c r="AN136" s="202"/>
      <c r="AO136" s="202"/>
    </row>
    <row r="137" spans="1:41" ht="13.15" customHeight="1" x14ac:dyDescent="0.2">
      <c r="B137" s="213" t="s">
        <v>260</v>
      </c>
      <c r="C137" s="213"/>
      <c r="D137" s="213"/>
      <c r="E137" s="213"/>
      <c r="F137" s="213"/>
      <c r="G137" s="213"/>
      <c r="H137" s="213"/>
      <c r="I137" s="213"/>
      <c r="J137" s="213"/>
      <c r="K137" s="213"/>
      <c r="L137" s="213"/>
      <c r="M137" s="213"/>
      <c r="N137" s="213"/>
      <c r="O137" s="213"/>
      <c r="P137" s="213"/>
      <c r="Q137" s="213"/>
      <c r="R137" s="213"/>
      <c r="S137" s="203"/>
      <c r="T137" s="203"/>
      <c r="U137" s="203"/>
      <c r="V137" s="203"/>
      <c r="W137" s="203"/>
      <c r="X137" s="203"/>
      <c r="Y137" s="203"/>
      <c r="Z137" s="203"/>
      <c r="AA137" s="203"/>
      <c r="AB137" s="203"/>
      <c r="AC137" s="203"/>
      <c r="AD137" s="203"/>
      <c r="AE137" s="203"/>
      <c r="AF137" s="203"/>
      <c r="AG137" s="203"/>
      <c r="AH137" s="203"/>
      <c r="AI137" s="203"/>
      <c r="AJ137" s="203"/>
      <c r="AK137" s="203"/>
      <c r="AL137" s="203"/>
      <c r="AM137" s="203"/>
      <c r="AN137" s="203"/>
      <c r="AO137" s="203"/>
    </row>
    <row r="138" spans="1:41" x14ac:dyDescent="0.2">
      <c r="B138" s="213"/>
      <c r="C138" s="213"/>
      <c r="D138" s="213"/>
      <c r="E138" s="213"/>
      <c r="F138" s="213"/>
      <c r="G138" s="213"/>
      <c r="H138" s="213"/>
      <c r="I138" s="213"/>
      <c r="J138" s="213"/>
      <c r="K138" s="213"/>
      <c r="L138" s="213"/>
      <c r="M138" s="213"/>
      <c r="N138" s="213"/>
      <c r="O138" s="213"/>
      <c r="P138" s="213"/>
      <c r="Q138" s="213"/>
      <c r="R138" s="213"/>
      <c r="S138" s="203"/>
      <c r="T138" s="203"/>
      <c r="U138" s="203"/>
      <c r="V138" s="203"/>
      <c r="W138" s="203"/>
      <c r="X138" s="203"/>
      <c r="Y138" s="203"/>
      <c r="Z138" s="203"/>
      <c r="AA138" s="203"/>
      <c r="AB138" s="203"/>
      <c r="AC138" s="203"/>
      <c r="AD138" s="203"/>
      <c r="AE138" s="203"/>
      <c r="AF138" s="203"/>
      <c r="AG138" s="203"/>
      <c r="AH138" s="203"/>
      <c r="AI138" s="203"/>
      <c r="AJ138" s="203"/>
      <c r="AK138" s="203"/>
      <c r="AL138" s="203"/>
      <c r="AM138" s="203"/>
      <c r="AN138" s="203"/>
      <c r="AO138" s="203"/>
    </row>
    <row r="139" spans="1:41" x14ac:dyDescent="0.2">
      <c r="B139" s="214"/>
      <c r="C139" s="214"/>
      <c r="D139" s="214"/>
      <c r="E139" s="214"/>
      <c r="F139" s="214"/>
      <c r="G139" s="214"/>
      <c r="H139" s="214"/>
      <c r="I139" s="214"/>
      <c r="J139" s="214"/>
      <c r="K139" s="214"/>
      <c r="L139" s="214"/>
      <c r="M139" s="214"/>
      <c r="N139" s="214"/>
      <c r="O139" s="214"/>
      <c r="P139" s="214"/>
      <c r="Q139" s="214"/>
      <c r="R139" s="214"/>
      <c r="S139" s="204"/>
      <c r="T139" s="204"/>
      <c r="U139" s="204"/>
      <c r="V139" s="204"/>
      <c r="W139" s="204"/>
      <c r="X139" s="204"/>
      <c r="Y139" s="204"/>
      <c r="Z139" s="204"/>
      <c r="AA139" s="204"/>
      <c r="AB139" s="204"/>
      <c r="AC139" s="204"/>
      <c r="AD139" s="204"/>
      <c r="AE139" s="204"/>
      <c r="AF139" s="204"/>
      <c r="AG139" s="204"/>
      <c r="AH139" s="204"/>
      <c r="AI139" s="204"/>
      <c r="AJ139" s="204"/>
      <c r="AK139" s="204"/>
      <c r="AL139" s="204"/>
      <c r="AM139" s="204"/>
      <c r="AN139" s="204"/>
      <c r="AO139" s="204"/>
    </row>
    <row r="140" spans="1:41" ht="27" customHeight="1" x14ac:dyDescent="0.2">
      <c r="B140" s="244" t="s">
        <v>261</v>
      </c>
      <c r="C140" s="244"/>
      <c r="D140" s="244"/>
      <c r="E140" s="244"/>
      <c r="F140" s="215"/>
      <c r="G140" s="215"/>
      <c r="H140" s="215"/>
      <c r="I140" s="215"/>
      <c r="J140" s="215"/>
      <c r="K140" s="215"/>
      <c r="L140" s="216" t="s">
        <v>262</v>
      </c>
      <c r="M140" s="217"/>
      <c r="N140" s="224" t="s">
        <v>267</v>
      </c>
      <c r="O140" s="217"/>
      <c r="P140" s="217"/>
      <c r="Q140" s="217"/>
      <c r="R140" s="217"/>
      <c r="S140" s="209"/>
      <c r="T140" s="209"/>
      <c r="U140" s="209"/>
      <c r="V140" s="210"/>
      <c r="W140" s="211"/>
      <c r="Y140" s="204"/>
      <c r="Z140" s="204"/>
      <c r="AA140" s="204"/>
      <c r="AB140" s="204"/>
      <c r="AC140" s="204"/>
      <c r="AD140" s="204"/>
      <c r="AE140" s="204"/>
      <c r="AF140" s="204"/>
      <c r="AG140" s="204"/>
      <c r="AH140" s="204"/>
      <c r="AI140" s="204"/>
      <c r="AJ140" s="204"/>
      <c r="AK140" s="204"/>
      <c r="AL140" s="204"/>
      <c r="AM140" s="204"/>
      <c r="AN140" s="204"/>
      <c r="AO140" s="204"/>
    </row>
    <row r="141" spans="1:41" ht="27" customHeight="1" x14ac:dyDescent="0.2">
      <c r="B141" s="214"/>
      <c r="C141" s="214"/>
      <c r="D141" s="214"/>
      <c r="E141" s="214"/>
      <c r="F141" s="214"/>
      <c r="G141" s="214"/>
      <c r="H141" s="214"/>
      <c r="I141" s="214"/>
      <c r="J141" s="214"/>
      <c r="K141" s="214"/>
      <c r="L141" s="214"/>
      <c r="M141" s="214"/>
      <c r="N141" s="214"/>
      <c r="O141" s="214"/>
      <c r="P141" s="214"/>
      <c r="Q141" s="214"/>
      <c r="R141" s="214"/>
      <c r="S141" s="204"/>
      <c r="T141" s="204"/>
      <c r="U141" s="204"/>
      <c r="V141" s="204"/>
      <c r="W141" s="204"/>
      <c r="X141" s="204"/>
      <c r="Y141" s="204"/>
      <c r="Z141" s="204"/>
      <c r="AA141" s="204"/>
      <c r="AB141" s="204"/>
      <c r="AC141" s="204"/>
      <c r="AD141" s="204"/>
      <c r="AE141" s="204"/>
      <c r="AF141" s="204"/>
      <c r="AG141" s="204"/>
      <c r="AH141" s="204"/>
      <c r="AI141" s="204"/>
      <c r="AJ141" s="204"/>
      <c r="AK141" s="204"/>
      <c r="AL141" s="204"/>
      <c r="AM141" s="204"/>
      <c r="AN141" s="204"/>
      <c r="AO141" s="204"/>
    </row>
    <row r="142" spans="1:41" ht="42.6" customHeight="1" x14ac:dyDescent="0.2">
      <c r="B142" s="218" t="s">
        <v>263</v>
      </c>
      <c r="C142" s="219" t="s">
        <v>264</v>
      </c>
      <c r="D142" s="219"/>
      <c r="E142" s="219"/>
      <c r="F142" s="219"/>
      <c r="G142" s="219"/>
      <c r="H142" s="219"/>
      <c r="I142" s="220" t="s">
        <v>265</v>
      </c>
      <c r="J142" s="221"/>
      <c r="K142" s="221"/>
      <c r="L142" s="221"/>
      <c r="M142" s="221"/>
      <c r="R142" s="220"/>
      <c r="S142" s="205"/>
      <c r="T142" s="205"/>
      <c r="Y142" s="204"/>
      <c r="Z142" s="204"/>
      <c r="AA142" s="204"/>
      <c r="AB142" s="204"/>
      <c r="AC142" s="204"/>
      <c r="AD142" s="204"/>
      <c r="AE142" s="204"/>
      <c r="AF142" s="204"/>
      <c r="AG142" s="204"/>
      <c r="AH142" s="204"/>
      <c r="AI142" s="204"/>
      <c r="AJ142" s="204"/>
      <c r="AK142" s="204"/>
      <c r="AL142" s="204"/>
      <c r="AM142" s="204"/>
      <c r="AN142" s="204"/>
      <c r="AO142" s="204"/>
    </row>
    <row r="143" spans="1:41" ht="13.15" customHeight="1" x14ac:dyDescent="0.2">
      <c r="B143" s="222"/>
      <c r="C143" s="222"/>
      <c r="D143" s="222"/>
      <c r="E143" s="222"/>
      <c r="F143" s="222"/>
      <c r="G143" s="223" t="s">
        <v>266</v>
      </c>
      <c r="H143" s="214"/>
      <c r="I143" s="214"/>
      <c r="J143" s="214"/>
      <c r="K143" s="214"/>
      <c r="L143" s="214"/>
      <c r="M143" s="220"/>
      <c r="N143" s="220"/>
      <c r="O143" s="220"/>
      <c r="P143" s="220"/>
      <c r="Q143" s="220"/>
      <c r="R143" s="220"/>
      <c r="S143" s="205"/>
      <c r="T143" s="205"/>
      <c r="U143" s="204"/>
      <c r="V143" s="204"/>
      <c r="W143" s="204"/>
      <c r="X143" s="204"/>
      <c r="Y143" s="204"/>
      <c r="Z143" s="204"/>
      <c r="AA143" s="204"/>
      <c r="AB143" s="204"/>
      <c r="AD143" s="207"/>
      <c r="AE143" s="207"/>
      <c r="AF143" s="207"/>
      <c r="AG143" s="207"/>
      <c r="AH143" s="207"/>
      <c r="AI143" s="207"/>
      <c r="AJ143" s="207"/>
      <c r="AK143" s="207"/>
      <c r="AL143" s="204"/>
      <c r="AM143" s="204"/>
      <c r="AN143" s="204"/>
      <c r="AO143" s="204"/>
    </row>
    <row r="144" spans="1:41" ht="43.15" customHeight="1" x14ac:dyDescent="0.2">
      <c r="B144" s="214"/>
      <c r="C144" s="214"/>
      <c r="D144" s="214"/>
      <c r="E144" s="214"/>
      <c r="F144" s="214"/>
      <c r="G144" s="214"/>
      <c r="H144" s="214"/>
      <c r="I144" s="205" t="s">
        <v>268</v>
      </c>
      <c r="J144" s="206"/>
      <c r="K144" s="206"/>
      <c r="L144" s="206"/>
      <c r="M144" s="206"/>
      <c r="N144" s="220"/>
      <c r="O144" s="220"/>
      <c r="P144" s="220"/>
      <c r="Q144" s="220"/>
      <c r="S144" s="205"/>
      <c r="T144" s="205"/>
      <c r="U144" s="204"/>
      <c r="V144" s="204"/>
      <c r="W144" s="204"/>
      <c r="X144" s="204"/>
      <c r="Y144" s="204"/>
      <c r="Z144" s="204"/>
      <c r="AA144" s="204"/>
      <c r="AB144" s="204"/>
      <c r="AC144" s="208"/>
      <c r="AD144" s="208"/>
      <c r="AE144" s="208"/>
      <c r="AF144" s="208"/>
      <c r="AG144" s="208"/>
      <c r="AH144" s="208"/>
      <c r="AI144" s="208"/>
      <c r="AJ144" s="208"/>
      <c r="AK144" s="208"/>
      <c r="AL144" s="204"/>
      <c r="AM144" s="204"/>
      <c r="AN144" s="204"/>
      <c r="AO144" s="204"/>
    </row>
    <row r="145" spans="2:41" x14ac:dyDescent="0.2">
      <c r="B145" s="204"/>
      <c r="C145" s="204"/>
      <c r="D145" s="204"/>
      <c r="E145" s="204"/>
      <c r="F145" s="204"/>
      <c r="G145" s="204"/>
      <c r="H145" s="204"/>
      <c r="I145" s="204"/>
      <c r="J145" s="204"/>
      <c r="K145" s="204"/>
      <c r="L145" s="204"/>
      <c r="M145" s="205"/>
      <c r="N145" s="205"/>
      <c r="O145" s="205"/>
      <c r="P145" s="205"/>
      <c r="Q145" s="205"/>
      <c r="R145" s="205"/>
      <c r="S145" s="205"/>
      <c r="T145" s="205"/>
      <c r="U145" s="204"/>
      <c r="V145" s="204"/>
      <c r="W145" s="204"/>
      <c r="X145" s="204"/>
      <c r="Y145" s="204"/>
      <c r="Z145" s="204"/>
      <c r="AA145" s="204"/>
      <c r="AB145" s="204"/>
      <c r="AC145" s="208"/>
      <c r="AD145" s="208"/>
      <c r="AE145" s="208"/>
      <c r="AF145" s="208"/>
      <c r="AG145" s="208"/>
      <c r="AH145" s="208"/>
      <c r="AI145" s="208"/>
      <c r="AJ145" s="208"/>
      <c r="AK145" s="208"/>
      <c r="AL145" s="204"/>
      <c r="AM145" s="204"/>
      <c r="AN145" s="204"/>
      <c r="AO145" s="204"/>
    </row>
    <row r="146" spans="2:41" ht="13.15" customHeight="1" x14ac:dyDescent="0.2">
      <c r="B146" s="204"/>
      <c r="C146" s="204"/>
      <c r="D146" s="204"/>
      <c r="E146" s="204"/>
      <c r="F146" s="204"/>
      <c r="G146" s="204"/>
      <c r="H146" s="204"/>
      <c r="I146" s="204"/>
      <c r="J146" s="204"/>
      <c r="K146" s="204"/>
      <c r="L146" s="204"/>
      <c r="R146" s="205"/>
      <c r="S146" s="205"/>
      <c r="T146" s="205"/>
      <c r="Y146" s="204"/>
      <c r="Z146" s="204"/>
      <c r="AA146" s="204"/>
      <c r="AB146" s="204"/>
      <c r="AC146" s="208"/>
      <c r="AD146" s="208"/>
      <c r="AE146" s="208"/>
      <c r="AF146" s="208"/>
      <c r="AG146" s="208"/>
      <c r="AH146" s="208"/>
      <c r="AI146" s="208"/>
      <c r="AJ146" s="208"/>
      <c r="AK146" s="208"/>
      <c r="AL146" s="204"/>
      <c r="AM146" s="204"/>
      <c r="AN146" s="204"/>
      <c r="AO146" s="204"/>
    </row>
    <row r="147" spans="2:41" x14ac:dyDescent="0.2">
      <c r="B147" s="204"/>
      <c r="C147" s="204"/>
      <c r="D147" s="204"/>
      <c r="E147" s="204"/>
      <c r="F147" s="204"/>
      <c r="G147" s="204"/>
      <c r="H147" s="204"/>
      <c r="I147" s="204"/>
      <c r="J147" s="204"/>
      <c r="K147" s="204"/>
      <c r="L147" s="204"/>
      <c r="M147" s="205"/>
      <c r="N147" s="205"/>
      <c r="O147" s="205"/>
      <c r="P147" s="205"/>
      <c r="Q147" s="205"/>
      <c r="R147" s="205"/>
      <c r="S147" s="205"/>
      <c r="T147" s="205"/>
      <c r="U147" s="204"/>
      <c r="V147" s="204"/>
      <c r="W147" s="204"/>
      <c r="X147" s="204"/>
      <c r="Y147" s="204"/>
      <c r="Z147" s="204"/>
      <c r="AA147" s="204"/>
      <c r="AB147" s="204"/>
      <c r="AC147" s="204"/>
      <c r="AD147" s="204"/>
      <c r="AE147" s="204"/>
      <c r="AF147" s="204"/>
      <c r="AG147" s="204"/>
      <c r="AH147" s="204"/>
      <c r="AI147" s="204"/>
      <c r="AJ147" s="204"/>
      <c r="AK147" s="204"/>
      <c r="AL147" s="204"/>
      <c r="AM147" s="204"/>
      <c r="AN147" s="204"/>
      <c r="AO147" s="204"/>
    </row>
    <row r="148" spans="2:41" x14ac:dyDescent="0.2">
      <c r="B148" s="204"/>
      <c r="C148" s="204"/>
      <c r="D148" s="204"/>
      <c r="E148" s="204"/>
      <c r="F148" s="204"/>
      <c r="G148" s="204"/>
      <c r="H148" s="204"/>
      <c r="I148" s="204"/>
      <c r="J148" s="204"/>
      <c r="K148" s="204"/>
      <c r="L148" s="204"/>
      <c r="M148" s="205"/>
      <c r="N148" s="205"/>
      <c r="O148" s="205"/>
      <c r="P148" s="205"/>
      <c r="Q148" s="205"/>
      <c r="R148" s="205"/>
      <c r="S148" s="205"/>
      <c r="T148" s="205"/>
      <c r="U148" s="204"/>
      <c r="V148" s="204"/>
      <c r="W148" s="204"/>
      <c r="X148" s="204"/>
      <c r="Y148" s="204"/>
      <c r="Z148" s="204"/>
      <c r="AA148" s="204"/>
      <c r="AB148" s="204"/>
      <c r="AC148" s="204"/>
      <c r="AD148" s="204"/>
      <c r="AE148" s="204"/>
      <c r="AF148" s="204"/>
      <c r="AG148" s="204"/>
      <c r="AH148" s="204"/>
      <c r="AI148" s="204"/>
      <c r="AJ148" s="204"/>
      <c r="AK148" s="204"/>
      <c r="AL148" s="204"/>
      <c r="AM148" s="204"/>
      <c r="AN148" s="204"/>
      <c r="AO148" s="204"/>
    </row>
    <row r="149" spans="2:41" x14ac:dyDescent="0.2">
      <c r="B149" s="204"/>
      <c r="C149" s="204"/>
      <c r="D149" s="204"/>
      <c r="E149" s="204"/>
      <c r="F149" s="204"/>
      <c r="G149" s="204"/>
      <c r="H149" s="204"/>
      <c r="I149" s="204"/>
      <c r="J149" s="204"/>
      <c r="K149" s="204"/>
      <c r="L149" s="204"/>
      <c r="M149" s="205"/>
      <c r="N149" s="205"/>
      <c r="O149" s="205"/>
      <c r="P149" s="205"/>
      <c r="Q149" s="205"/>
      <c r="R149" s="205"/>
      <c r="S149" s="205"/>
      <c r="T149" s="205"/>
      <c r="U149" s="204"/>
      <c r="V149" s="204"/>
      <c r="W149" s="204"/>
      <c r="X149" s="204"/>
      <c r="Y149" s="204"/>
      <c r="Z149" s="204"/>
      <c r="AA149" s="204"/>
      <c r="AB149" s="204"/>
      <c r="AC149" s="204"/>
      <c r="AD149" s="204"/>
      <c r="AE149" s="204"/>
      <c r="AF149" s="204"/>
      <c r="AG149" s="204"/>
      <c r="AH149" s="204"/>
      <c r="AI149" s="204"/>
      <c r="AJ149" s="204"/>
      <c r="AK149" s="204"/>
      <c r="AL149" s="204"/>
      <c r="AM149" s="204"/>
      <c r="AN149" s="204"/>
      <c r="AO149" s="204"/>
    </row>
    <row r="162" ht="18" customHeight="1" x14ac:dyDescent="0.2"/>
    <row r="164" ht="27.75" customHeight="1" x14ac:dyDescent="0.2"/>
    <row r="166" ht="27" customHeight="1" x14ac:dyDescent="0.2"/>
    <row r="214" spans="14:14" x14ac:dyDescent="0.2">
      <c r="N214" s="11" t="s">
        <v>247</v>
      </c>
    </row>
    <row r="215" spans="14:14" x14ac:dyDescent="0.2">
      <c r="N215" s="11" t="s">
        <v>248</v>
      </c>
    </row>
    <row r="250" ht="15" customHeight="1" x14ac:dyDescent="0.2"/>
  </sheetData>
  <mergeCells count="16">
    <mergeCell ref="B140:E140"/>
    <mergeCell ref="E2:K2"/>
    <mergeCell ref="A8:M8"/>
    <mergeCell ref="A56:M56"/>
    <mergeCell ref="C27:L27"/>
    <mergeCell ref="C29:L29"/>
    <mergeCell ref="C37:L37"/>
    <mergeCell ref="G43:H43"/>
    <mergeCell ref="K43:L43"/>
    <mergeCell ref="C31:L31"/>
    <mergeCell ref="C33:L33"/>
    <mergeCell ref="C35:L35"/>
    <mergeCell ref="C39:L39"/>
    <mergeCell ref="C47:E47"/>
    <mergeCell ref="A5:M5"/>
    <mergeCell ref="C43:E43"/>
  </mergeCells>
  <pageMargins left="0.7" right="0.7" top="0.75" bottom="0.75" header="0.3" footer="0.3"/>
  <pageSetup paperSize="9" scale="63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 sizeWithCells="1">
                  <from>
                    <xdr:col>0</xdr:col>
                    <xdr:colOff>247650</xdr:colOff>
                    <xdr:row>16</xdr:row>
                    <xdr:rowOff>85725</xdr:rowOff>
                  </from>
                  <to>
                    <xdr:col>3</xdr:col>
                    <xdr:colOff>133350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Option Button 7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16</xdr:row>
                    <xdr:rowOff>85725</xdr:rowOff>
                  </from>
                  <to>
                    <xdr:col>7</xdr:col>
                    <xdr:colOff>0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Option Button 8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16</xdr:row>
                    <xdr:rowOff>114300</xdr:rowOff>
                  </from>
                  <to>
                    <xdr:col>10</xdr:col>
                    <xdr:colOff>600075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Option Button 12">
              <controlPr defaultSize="0" autoFill="0" autoLine="0" autoPict="0">
                <anchor moveWithCells="1" sizeWithCells="1">
                  <from>
                    <xdr:col>11</xdr:col>
                    <xdr:colOff>142875</xdr:colOff>
                    <xdr:row>16</xdr:row>
                    <xdr:rowOff>95250</xdr:rowOff>
                  </from>
                  <to>
                    <xdr:col>13</xdr:col>
                    <xdr:colOff>0</xdr:colOff>
                    <xdr:row>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defaultSize="0" autoFill="0" autoLine="0" autoPict="0">
                <anchor moveWithCells="1" sizeWithCells="1">
                  <from>
                    <xdr:col>3</xdr:col>
                    <xdr:colOff>142875</xdr:colOff>
                    <xdr:row>16</xdr:row>
                    <xdr:rowOff>57150</xdr:rowOff>
                  </from>
                  <to>
                    <xdr:col>4</xdr:col>
                    <xdr:colOff>485775</xdr:colOff>
                    <xdr:row>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9" name="Check Box 30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42</xdr:row>
                    <xdr:rowOff>0</xdr:rowOff>
                  </from>
                  <to>
                    <xdr:col>9</xdr:col>
                    <xdr:colOff>19050</xdr:colOff>
                    <xdr:row>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0" name="Check Box 31">
              <controlPr defaultSize="0" autoFill="0" autoLine="0" autoPict="0">
                <anchor moveWithCells="1" sizeWithCells="1">
                  <from>
                    <xdr:col>7</xdr:col>
                    <xdr:colOff>571500</xdr:colOff>
                    <xdr:row>42</xdr:row>
                    <xdr:rowOff>0</xdr:rowOff>
                  </from>
                  <to>
                    <xdr:col>8</xdr:col>
                    <xdr:colOff>581025</xdr:colOff>
                    <xdr:row>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1" name="Check Box 32">
              <controlPr defaultSize="0" autoFill="0" autoLine="0" autoPict="0">
                <anchor moveWithCells="1" sizeWithCells="1">
                  <from>
                    <xdr:col>12</xdr:col>
                    <xdr:colOff>0</xdr:colOff>
                    <xdr:row>42</xdr:row>
                    <xdr:rowOff>0</xdr:rowOff>
                  </from>
                  <to>
                    <xdr:col>13</xdr:col>
                    <xdr:colOff>19050</xdr:colOff>
                    <xdr:row>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2" name="Check Box 41">
              <controlPr defaultSize="0" autoFill="0" autoLine="0" autoPict="0">
                <anchor moveWithCells="1" sizeWithCells="1">
                  <from>
                    <xdr:col>12</xdr:col>
                    <xdr:colOff>0</xdr:colOff>
                    <xdr:row>26</xdr:row>
                    <xdr:rowOff>0</xdr:rowOff>
                  </from>
                  <to>
                    <xdr:col>12</xdr:col>
                    <xdr:colOff>581025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3" name="Check Box 42">
              <controlPr defaultSize="0" autoFill="0" autoLine="0" autoPict="0">
                <anchor moveWithCells="1" sizeWithCells="1">
                  <from>
                    <xdr:col>12</xdr:col>
                    <xdr:colOff>0</xdr:colOff>
                    <xdr:row>28</xdr:row>
                    <xdr:rowOff>0</xdr:rowOff>
                  </from>
                  <to>
                    <xdr:col>12</xdr:col>
                    <xdr:colOff>514350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4" name="Check Box 43">
              <controlPr defaultSize="0" autoFill="0" autoLine="0" autoPict="0">
                <anchor moveWithCells="1" sizeWithCells="1">
                  <from>
                    <xdr:col>12</xdr:col>
                    <xdr:colOff>0</xdr:colOff>
                    <xdr:row>30</xdr:row>
                    <xdr:rowOff>0</xdr:rowOff>
                  </from>
                  <to>
                    <xdr:col>13</xdr:col>
                    <xdr:colOff>19050</xdr:colOff>
                    <xdr:row>30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5" name="Check Box 44">
              <controlPr defaultSize="0" autoFill="0" autoLine="0" autoPict="0">
                <anchor moveWithCells="1" sizeWithCells="1">
                  <from>
                    <xdr:col>12</xdr:col>
                    <xdr:colOff>0</xdr:colOff>
                    <xdr:row>32</xdr:row>
                    <xdr:rowOff>0</xdr:rowOff>
                  </from>
                  <to>
                    <xdr:col>13</xdr:col>
                    <xdr:colOff>19050</xdr:colOff>
                    <xdr:row>32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6" name="Check Box 45">
              <controlPr defaultSize="0" autoFill="0" autoLine="0" autoPict="0">
                <anchor moveWithCells="1" sizeWithCells="1">
                  <from>
                    <xdr:col>12</xdr:col>
                    <xdr:colOff>0</xdr:colOff>
                    <xdr:row>34</xdr:row>
                    <xdr:rowOff>0</xdr:rowOff>
                  </from>
                  <to>
                    <xdr:col>13</xdr:col>
                    <xdr:colOff>19050</xdr:colOff>
                    <xdr:row>34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7" name="Check Box 46">
              <controlPr defaultSize="0" autoFill="0" autoLine="0" autoPict="0">
                <anchor moveWithCells="1" sizeWithCells="1">
                  <from>
                    <xdr:col>12</xdr:col>
                    <xdr:colOff>0</xdr:colOff>
                    <xdr:row>36</xdr:row>
                    <xdr:rowOff>0</xdr:rowOff>
                  </from>
                  <to>
                    <xdr:col>13</xdr:col>
                    <xdr:colOff>19050</xdr:colOff>
                    <xdr:row>36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8" name="Check Box 53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50</xdr:row>
                    <xdr:rowOff>0</xdr:rowOff>
                  </from>
                  <to>
                    <xdr:col>7</xdr:col>
                    <xdr:colOff>238125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9" name="Check Box 54">
              <controlPr defaultSize="0" autoFill="0" autoLine="0" autoPict="0">
                <anchor moveWithCells="1" sizeWithCells="1">
                  <from>
                    <xdr:col>7</xdr:col>
                    <xdr:colOff>600075</xdr:colOff>
                    <xdr:row>49</xdr:row>
                    <xdr:rowOff>142875</xdr:rowOff>
                  </from>
                  <to>
                    <xdr:col>8</xdr:col>
                    <xdr:colOff>428625</xdr:colOff>
                    <xdr:row>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0" name="Check Box 55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49</xdr:row>
                    <xdr:rowOff>152400</xdr:rowOff>
                  </from>
                  <to>
                    <xdr:col>10</xdr:col>
                    <xdr:colOff>57150</xdr:colOff>
                    <xdr:row>51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1" name="Check Box 56">
              <controlPr defaultSize="0" autoFill="0" autoLine="0" autoPict="0">
                <anchor moveWithCells="1" sizeWithCells="1">
                  <from>
                    <xdr:col>10</xdr:col>
                    <xdr:colOff>19050</xdr:colOff>
                    <xdr:row>49</xdr:row>
                    <xdr:rowOff>142875</xdr:rowOff>
                  </from>
                  <to>
                    <xdr:col>11</xdr:col>
                    <xdr:colOff>76200</xdr:colOff>
                    <xdr:row>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2" name="Check Box 57">
              <controlPr defaultSize="0" autoFill="0" autoLine="0" autoPict="0">
                <anchor moveWithCells="1" sizeWithCells="1">
                  <from>
                    <xdr:col>11</xdr:col>
                    <xdr:colOff>0</xdr:colOff>
                    <xdr:row>49</xdr:row>
                    <xdr:rowOff>123825</xdr:rowOff>
                  </from>
                  <to>
                    <xdr:col>12</xdr:col>
                    <xdr:colOff>57150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3" name="Check Box 58">
              <controlPr defaultSize="0" autoFill="0" autoLine="0" autoPict="0">
                <anchor moveWithCells="1" sizeWithCells="1">
                  <from>
                    <xdr:col>12</xdr:col>
                    <xdr:colOff>19050</xdr:colOff>
                    <xdr:row>49</xdr:row>
                    <xdr:rowOff>142875</xdr:rowOff>
                  </from>
                  <to>
                    <xdr:col>13</xdr:col>
                    <xdr:colOff>76200</xdr:colOff>
                    <xdr:row>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4" name="Check Box 59">
              <controlPr defaultSize="0" autoFill="0" autoLine="0" autoPict="0">
                <anchor moveWithCells="1" sizeWithCells="1">
                  <from>
                    <xdr:col>12</xdr:col>
                    <xdr:colOff>0</xdr:colOff>
                    <xdr:row>38</xdr:row>
                    <xdr:rowOff>0</xdr:rowOff>
                  </from>
                  <to>
                    <xdr:col>12</xdr:col>
                    <xdr:colOff>581025</xdr:colOff>
                    <xdr:row>38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25"/>
  <sheetViews>
    <sheetView zoomScaleNormal="100" workbookViewId="0">
      <selection activeCell="U15" sqref="U15"/>
    </sheetView>
  </sheetViews>
  <sheetFormatPr defaultColWidth="8.85546875" defaultRowHeight="15" x14ac:dyDescent="0.25"/>
  <cols>
    <col min="1" max="16384" width="8.85546875" style="82"/>
  </cols>
  <sheetData>
    <row r="1" spans="1:13" ht="94.5" customHeight="1" x14ac:dyDescent="0.25">
      <c r="A1" s="245" t="s">
        <v>250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</row>
    <row r="2" spans="1:13" x14ac:dyDescent="0.25">
      <c r="A2" s="246" t="s">
        <v>49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</row>
    <row r="3" spans="1:13" x14ac:dyDescent="0.25">
      <c r="A3" s="9" t="s">
        <v>27</v>
      </c>
      <c r="B3" s="9"/>
      <c r="C3" s="9"/>
      <c r="D3" s="9" t="s">
        <v>28</v>
      </c>
      <c r="E3" s="9"/>
      <c r="F3" s="9"/>
      <c r="G3" s="9"/>
      <c r="H3" s="9"/>
      <c r="I3" s="9"/>
      <c r="J3" s="9"/>
      <c r="K3" s="9"/>
      <c r="L3" s="9"/>
      <c r="M3" s="9"/>
    </row>
    <row r="4" spans="1:13" x14ac:dyDescent="0.25">
      <c r="A4" s="9"/>
      <c r="B4" s="29" t="s">
        <v>50</v>
      </c>
      <c r="C4" s="9"/>
      <c r="D4" s="9" t="s">
        <v>51</v>
      </c>
      <c r="E4" s="9"/>
      <c r="F4" s="9"/>
      <c r="G4" s="9"/>
      <c r="H4" s="9"/>
      <c r="I4" s="9"/>
      <c r="J4" s="9"/>
      <c r="K4" s="9"/>
      <c r="L4" s="9"/>
      <c r="M4" s="9"/>
    </row>
    <row r="5" spans="1:13" x14ac:dyDescent="0.25">
      <c r="A5" s="9"/>
      <c r="B5" s="9"/>
      <c r="C5" s="9" t="s">
        <v>18</v>
      </c>
      <c r="D5" s="18" t="s">
        <v>31</v>
      </c>
      <c r="E5" s="83">
        <f>'Расчет ИПН'!D13+'Договора ГПХ'!D8</f>
        <v>900000</v>
      </c>
      <c r="F5" s="9"/>
      <c r="G5" s="9" t="s">
        <v>32</v>
      </c>
      <c r="H5" s="11"/>
      <c r="I5" s="11"/>
      <c r="J5" s="9" t="s">
        <v>33</v>
      </c>
      <c r="K5" s="83">
        <f>E9+E7+E5</f>
        <v>2100000</v>
      </c>
      <c r="L5" s="9"/>
      <c r="M5" s="9"/>
    </row>
    <row r="6" spans="1:13" ht="13.9" x14ac:dyDescent="0.25">
      <c r="A6" s="9"/>
      <c r="B6" s="9"/>
      <c r="C6" s="9"/>
      <c r="D6" s="8"/>
      <c r="E6" s="9"/>
      <c r="F6" s="9"/>
      <c r="G6" s="9"/>
      <c r="H6" s="9"/>
      <c r="I6" s="9"/>
      <c r="J6" s="9"/>
      <c r="K6" s="9"/>
      <c r="L6" s="9"/>
      <c r="M6" s="9"/>
    </row>
    <row r="7" spans="1:13" x14ac:dyDescent="0.25">
      <c r="A7" s="11"/>
      <c r="B7" s="9"/>
      <c r="C7" s="9" t="s">
        <v>19</v>
      </c>
      <c r="D7" s="18" t="s">
        <v>34</v>
      </c>
      <c r="E7" s="83">
        <f>'Расчет ИПН'!D17+'Договора ГПХ'!D12</f>
        <v>600000</v>
      </c>
      <c r="F7" s="9"/>
      <c r="G7" s="9"/>
      <c r="H7" s="9"/>
      <c r="I7" s="9"/>
      <c r="J7" s="9"/>
      <c r="K7" s="9"/>
      <c r="L7" s="9"/>
      <c r="M7" s="9"/>
    </row>
    <row r="8" spans="1:13" ht="13.9" x14ac:dyDescent="0.25">
      <c r="A8" s="11"/>
      <c r="B8" s="9"/>
      <c r="C8" s="9"/>
      <c r="D8" s="8"/>
      <c r="E8" s="9"/>
      <c r="F8" s="9"/>
      <c r="G8" s="9"/>
      <c r="H8" s="9"/>
      <c r="I8" s="9"/>
      <c r="J8" s="9"/>
      <c r="K8" s="9"/>
      <c r="L8" s="9"/>
      <c r="M8" s="9"/>
    </row>
    <row r="9" spans="1:13" x14ac:dyDescent="0.25">
      <c r="A9" s="11"/>
      <c r="B9" s="9"/>
      <c r="C9" s="9" t="s">
        <v>20</v>
      </c>
      <c r="D9" s="8" t="s">
        <v>35</v>
      </c>
      <c r="E9" s="83">
        <f>'Расчет ИПН'!D21+'Договора ГПХ'!D16</f>
        <v>600000</v>
      </c>
      <c r="F9" s="9"/>
      <c r="G9" s="9"/>
      <c r="H9" s="9"/>
      <c r="I9" s="9"/>
      <c r="J9" s="9"/>
      <c r="K9" s="9"/>
      <c r="L9" s="9"/>
      <c r="M9" s="9"/>
    </row>
    <row r="10" spans="1:13" x14ac:dyDescent="0.25">
      <c r="A10" s="11"/>
      <c r="B10" s="9"/>
      <c r="C10" s="9"/>
      <c r="D10" s="9" t="s">
        <v>52</v>
      </c>
      <c r="E10" s="9"/>
      <c r="F10" s="9"/>
      <c r="G10" s="9"/>
      <c r="H10" s="9"/>
      <c r="I10" s="9"/>
      <c r="J10" s="9"/>
      <c r="K10" s="9"/>
      <c r="L10" s="9"/>
      <c r="M10" s="9"/>
    </row>
    <row r="11" spans="1:13" x14ac:dyDescent="0.25">
      <c r="A11" s="11"/>
      <c r="B11" s="9"/>
      <c r="C11" s="9"/>
      <c r="D11" s="9" t="s">
        <v>11</v>
      </c>
      <c r="E11" s="9" t="s">
        <v>53</v>
      </c>
      <c r="F11" s="9"/>
      <c r="G11" s="9"/>
      <c r="H11" s="9"/>
      <c r="I11" s="11"/>
      <c r="J11" s="9"/>
      <c r="K11" s="83">
        <f>'Расчет ОПВ'!D25</f>
        <v>1800000</v>
      </c>
      <c r="L11" s="9"/>
      <c r="M11" s="9"/>
    </row>
    <row r="12" spans="1:13" ht="13.9" x14ac:dyDescent="0.25">
      <c r="A12" s="11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13" x14ac:dyDescent="0.25">
      <c r="A13" s="11"/>
      <c r="B13" s="9"/>
      <c r="C13" s="9"/>
      <c r="D13" s="9" t="s">
        <v>13</v>
      </c>
      <c r="E13" s="9" t="s">
        <v>194</v>
      </c>
      <c r="F13" s="9"/>
      <c r="G13" s="9"/>
      <c r="H13" s="9"/>
      <c r="I13" s="11"/>
      <c r="J13" s="9"/>
      <c r="K13" s="84"/>
      <c r="L13" s="9"/>
      <c r="M13" s="9"/>
    </row>
    <row r="14" spans="1:13" ht="13.9" x14ac:dyDescent="0.25">
      <c r="A14" s="11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x14ac:dyDescent="0.25">
      <c r="A15" s="11"/>
      <c r="B15" s="9"/>
      <c r="C15" s="9"/>
      <c r="D15" s="9" t="s">
        <v>179</v>
      </c>
      <c r="E15" s="9" t="s">
        <v>193</v>
      </c>
      <c r="F15" s="9"/>
      <c r="G15" s="9"/>
      <c r="H15" s="9"/>
      <c r="I15" s="9"/>
      <c r="J15" s="9"/>
      <c r="K15" s="84"/>
      <c r="L15" s="9"/>
      <c r="M15" s="9"/>
    </row>
    <row r="16" spans="1:13" ht="13.9" x14ac:dyDescent="0.25">
      <c r="A16" s="11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 x14ac:dyDescent="0.25">
      <c r="A17" s="11"/>
      <c r="B17" s="9"/>
      <c r="C17" s="9"/>
      <c r="D17" s="9" t="s">
        <v>172</v>
      </c>
      <c r="E17" s="9" t="s">
        <v>195</v>
      </c>
      <c r="F17" s="9"/>
      <c r="G17" s="9"/>
      <c r="H17" s="9"/>
      <c r="I17" s="9"/>
      <c r="J17" s="9"/>
      <c r="K17" s="84"/>
      <c r="L17" s="9"/>
      <c r="M17" s="9"/>
    </row>
    <row r="18" spans="1:13" ht="13.9" x14ac:dyDescent="0.25">
      <c r="A18" s="11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13" x14ac:dyDescent="0.25">
      <c r="A19" s="11"/>
      <c r="B19" s="9"/>
      <c r="C19" s="9"/>
      <c r="D19" s="9" t="s">
        <v>173</v>
      </c>
      <c r="E19" s="9" t="s">
        <v>196</v>
      </c>
      <c r="F19" s="9"/>
      <c r="G19" s="9"/>
      <c r="H19" s="9"/>
      <c r="I19" s="9"/>
      <c r="J19" s="9"/>
      <c r="K19" s="83">
        <f>'Договора ГПХ'!D20</f>
        <v>300000</v>
      </c>
      <c r="L19" s="9"/>
      <c r="M19" s="9"/>
    </row>
    <row r="20" spans="1:13" ht="13.9" x14ac:dyDescent="0.25">
      <c r="A20" s="11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13" x14ac:dyDescent="0.25">
      <c r="A21" s="11"/>
      <c r="B21" s="29" t="s">
        <v>54</v>
      </c>
      <c r="C21" s="9"/>
      <c r="D21" s="85" t="s">
        <v>197</v>
      </c>
      <c r="E21" s="85"/>
      <c r="F21" s="85"/>
      <c r="G21" s="85"/>
      <c r="H21" s="85"/>
      <c r="I21" s="85"/>
      <c r="J21" s="85"/>
      <c r="K21" s="86"/>
      <c r="L21" s="9"/>
      <c r="M21" s="9"/>
    </row>
    <row r="22" spans="1:13" ht="13.9" x14ac:dyDescent="0.25">
      <c r="A22" s="11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3" x14ac:dyDescent="0.25">
      <c r="A23" s="11"/>
      <c r="B23" s="33" t="s">
        <v>56</v>
      </c>
      <c r="C23" s="9"/>
      <c r="D23" s="9" t="s">
        <v>55</v>
      </c>
      <c r="E23" s="9"/>
      <c r="F23" s="9"/>
      <c r="G23" s="9"/>
      <c r="H23" s="9"/>
      <c r="I23" s="9"/>
      <c r="J23" s="9"/>
      <c r="K23" s="9"/>
      <c r="L23" s="9"/>
      <c r="M23" s="9"/>
    </row>
    <row r="24" spans="1:13" x14ac:dyDescent="0.25">
      <c r="A24" s="11"/>
      <c r="B24" s="18"/>
      <c r="C24" s="9" t="s">
        <v>18</v>
      </c>
      <c r="D24" s="18" t="s">
        <v>31</v>
      </c>
      <c r="E24" s="83">
        <f>'Расчет ИПН'!Q13+'Договора ГПХ'!K8</f>
        <v>64693.599999999999</v>
      </c>
      <c r="F24" s="9"/>
      <c r="G24" s="87" t="s">
        <v>20</v>
      </c>
      <c r="H24" s="11"/>
      <c r="I24" s="11"/>
      <c r="J24" s="88" t="s">
        <v>35</v>
      </c>
      <c r="K24" s="83">
        <f>'Расчет ИПН'!J21+'Договора ГПХ'!K16</f>
        <v>38293.599999999999</v>
      </c>
      <c r="L24" s="9"/>
      <c r="M24" s="9"/>
    </row>
    <row r="25" spans="1:13" ht="13.9" x14ac:dyDescent="0.25">
      <c r="A25" s="11"/>
      <c r="B25" s="8"/>
      <c r="C25" s="9"/>
      <c r="D25" s="8"/>
      <c r="E25" s="9"/>
      <c r="F25" s="9"/>
      <c r="G25" s="9"/>
      <c r="H25" s="9"/>
      <c r="I25" s="9"/>
      <c r="J25" s="9"/>
      <c r="K25" s="9"/>
      <c r="L25" s="9"/>
      <c r="M25" s="9"/>
    </row>
    <row r="26" spans="1:13" x14ac:dyDescent="0.25">
      <c r="A26" s="11"/>
      <c r="B26" s="18"/>
      <c r="C26" s="9" t="s">
        <v>19</v>
      </c>
      <c r="D26" s="18" t="s">
        <v>34</v>
      </c>
      <c r="E26" s="83">
        <f>'Расчет ИПН'!Q17+'Договора ГПХ'!K12</f>
        <v>38293.599999999999</v>
      </c>
      <c r="F26" s="9"/>
      <c r="G26" s="9" t="s">
        <v>32</v>
      </c>
      <c r="H26" s="11"/>
      <c r="I26" s="11"/>
      <c r="J26" s="9" t="s">
        <v>33</v>
      </c>
      <c r="K26" s="83">
        <f>K24+E26+E24</f>
        <v>141280.79999999999</v>
      </c>
      <c r="L26" s="9"/>
      <c r="M26" s="9"/>
    </row>
    <row r="27" spans="1:13" ht="13.9" x14ac:dyDescent="0.25">
      <c r="A27" s="11"/>
      <c r="B27" s="18"/>
      <c r="C27" s="9"/>
      <c r="D27" s="18"/>
      <c r="E27" s="9"/>
      <c r="F27" s="9"/>
      <c r="G27" s="9"/>
      <c r="H27" s="9"/>
      <c r="I27" s="9"/>
      <c r="J27" s="9"/>
      <c r="K27" s="9"/>
      <c r="L27" s="9"/>
      <c r="M27" s="9"/>
    </row>
    <row r="28" spans="1:13" x14ac:dyDescent="0.25">
      <c r="A28" s="11"/>
      <c r="B28" s="33" t="s">
        <v>58</v>
      </c>
      <c r="C28" s="9"/>
      <c r="D28" s="9" t="s">
        <v>57</v>
      </c>
      <c r="E28" s="9"/>
      <c r="F28" s="9"/>
      <c r="G28" s="9"/>
      <c r="H28" s="9"/>
      <c r="I28" s="11"/>
      <c r="J28" s="9"/>
      <c r="K28" s="83">
        <f>'Расчет ИПН'!N25+'Договора ГПХ'!N16</f>
        <v>0</v>
      </c>
      <c r="L28" s="9"/>
      <c r="M28" s="9"/>
    </row>
    <row r="29" spans="1:13" ht="13.9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3" x14ac:dyDescent="0.25">
      <c r="A30" s="11"/>
      <c r="B30" s="89" t="s">
        <v>60</v>
      </c>
      <c r="C30" s="90"/>
      <c r="D30" s="252" t="s">
        <v>59</v>
      </c>
      <c r="E30" s="252"/>
      <c r="F30" s="252"/>
      <c r="G30" s="252"/>
      <c r="H30" s="252"/>
      <c r="I30" s="252"/>
      <c r="J30" s="90"/>
      <c r="K30" s="83">
        <f>'Расчет ИПН'!P25+'Договора ГПХ'!P8</f>
        <v>0</v>
      </c>
      <c r="L30" s="11"/>
      <c r="M30" s="11"/>
    </row>
    <row r="31" spans="1:13" ht="13.9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3" x14ac:dyDescent="0.25">
      <c r="A32" s="9"/>
      <c r="B32" s="91" t="s">
        <v>62</v>
      </c>
      <c r="C32" s="9"/>
      <c r="D32" s="251" t="s">
        <v>61</v>
      </c>
      <c r="E32" s="251"/>
      <c r="F32" s="251"/>
      <c r="G32" s="251"/>
      <c r="H32" s="251"/>
      <c r="I32" s="251"/>
      <c r="J32" s="9"/>
      <c r="K32" s="83">
        <f>'Расчет ИПН'!S25+'Договора ГПХ'!S16</f>
        <v>0</v>
      </c>
      <c r="L32" s="9"/>
      <c r="M32" s="11"/>
    </row>
    <row r="33" spans="1:13" ht="13.9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spans="1:13" x14ac:dyDescent="0.25">
      <c r="A34" s="9"/>
      <c r="B34" s="33" t="s">
        <v>65</v>
      </c>
      <c r="C34" s="9"/>
      <c r="D34" s="9" t="s">
        <v>63</v>
      </c>
      <c r="E34" s="9"/>
      <c r="F34" s="9"/>
      <c r="G34" s="9"/>
      <c r="H34" s="9"/>
      <c r="I34" s="9"/>
      <c r="J34" s="9"/>
      <c r="K34" s="9"/>
      <c r="L34" s="9"/>
      <c r="M34" s="9"/>
    </row>
    <row r="35" spans="1:13" x14ac:dyDescent="0.25">
      <c r="A35" s="9"/>
      <c r="B35" s="18"/>
      <c r="C35" s="9" t="s">
        <v>18</v>
      </c>
      <c r="D35" s="18" t="s">
        <v>31</v>
      </c>
      <c r="E35" s="83">
        <f>'Расчет ИПН'!M13+'Договора ГПХ'!M8</f>
        <v>737306.39999999991</v>
      </c>
      <c r="F35" s="9"/>
      <c r="G35" s="92" t="s">
        <v>20</v>
      </c>
      <c r="H35" s="11"/>
      <c r="I35" s="11"/>
      <c r="J35" s="8" t="s">
        <v>35</v>
      </c>
      <c r="K35" s="83">
        <f>'Расчет ИПН'!M21+'Договора ГПХ'!M16</f>
        <v>499706.39999999997</v>
      </c>
      <c r="L35" s="9"/>
      <c r="M35" s="9"/>
    </row>
    <row r="36" spans="1:13" ht="13.9" x14ac:dyDescent="0.25">
      <c r="A36" s="9"/>
      <c r="B36" s="8"/>
      <c r="C36" s="9"/>
      <c r="D36" s="8"/>
      <c r="E36" s="9"/>
      <c r="F36" s="9"/>
      <c r="G36" s="9"/>
      <c r="H36" s="9"/>
      <c r="I36" s="9"/>
      <c r="J36" s="9"/>
      <c r="K36" s="9"/>
      <c r="L36" s="9"/>
      <c r="M36" s="9"/>
    </row>
    <row r="37" spans="1:13" x14ac:dyDescent="0.25">
      <c r="A37" s="9"/>
      <c r="B37" s="18"/>
      <c r="C37" s="9" t="s">
        <v>19</v>
      </c>
      <c r="D37" s="18" t="s">
        <v>34</v>
      </c>
      <c r="E37" s="83">
        <f>'Расчет ИПН'!M17+'Договора ГПХ'!M12</f>
        <v>499706.39999999997</v>
      </c>
      <c r="F37" s="9"/>
      <c r="G37" s="9" t="s">
        <v>32</v>
      </c>
      <c r="H37" s="11"/>
      <c r="I37" s="11"/>
      <c r="J37" s="9" t="s">
        <v>33</v>
      </c>
      <c r="K37" s="83">
        <f>K35+E37+E35</f>
        <v>1736719.1999999997</v>
      </c>
      <c r="L37" s="9"/>
      <c r="M37" s="9"/>
    </row>
    <row r="38" spans="1:13" ht="13.9" x14ac:dyDescent="0.25">
      <c r="A38" s="9"/>
      <c r="B38" s="18"/>
      <c r="C38" s="9"/>
      <c r="D38" s="18"/>
      <c r="E38" s="9"/>
      <c r="F38" s="9"/>
      <c r="G38" s="9"/>
      <c r="H38" s="9"/>
      <c r="I38" s="9"/>
      <c r="J38" s="9"/>
      <c r="K38" s="9"/>
      <c r="L38" s="9"/>
      <c r="M38" s="9"/>
    </row>
    <row r="39" spans="1:13" x14ac:dyDescent="0.25">
      <c r="A39" s="9"/>
      <c r="B39" s="33" t="s">
        <v>67</v>
      </c>
      <c r="C39" s="9"/>
      <c r="D39" s="9" t="s">
        <v>199</v>
      </c>
      <c r="E39" s="9"/>
      <c r="F39" s="9"/>
      <c r="G39" s="9"/>
      <c r="H39" s="9"/>
      <c r="I39" s="9"/>
      <c r="J39" s="9"/>
      <c r="K39" s="9"/>
      <c r="L39" s="9"/>
      <c r="M39" s="9"/>
    </row>
    <row r="40" spans="1:13" x14ac:dyDescent="0.25">
      <c r="A40" s="9"/>
      <c r="B40" s="18"/>
      <c r="C40" s="9" t="s">
        <v>18</v>
      </c>
      <c r="D40" s="18" t="s">
        <v>31</v>
      </c>
      <c r="E40" s="83">
        <f>E24*10</f>
        <v>646936</v>
      </c>
      <c r="F40" s="9"/>
      <c r="G40" s="92" t="s">
        <v>20</v>
      </c>
      <c r="H40" s="11"/>
      <c r="I40" s="11"/>
      <c r="J40" s="8" t="s">
        <v>35</v>
      </c>
      <c r="K40" s="83">
        <f>K24*10</f>
        <v>382936</v>
      </c>
      <c r="L40" s="9"/>
      <c r="M40" s="9"/>
    </row>
    <row r="41" spans="1:13" x14ac:dyDescent="0.25">
      <c r="A41" s="9"/>
      <c r="B41" s="8"/>
      <c r="C41" s="9"/>
      <c r="D41" s="8"/>
      <c r="E41" s="9"/>
      <c r="F41" s="9"/>
      <c r="G41" s="9"/>
      <c r="H41" s="9"/>
      <c r="I41" s="9"/>
      <c r="J41" s="9"/>
      <c r="K41" s="9"/>
      <c r="L41" s="9"/>
      <c r="M41" s="9"/>
    </row>
    <row r="42" spans="1:13" x14ac:dyDescent="0.25">
      <c r="A42" s="9"/>
      <c r="B42" s="18"/>
      <c r="C42" s="9" t="s">
        <v>19</v>
      </c>
      <c r="D42" s="18" t="s">
        <v>34</v>
      </c>
      <c r="E42" s="83">
        <f>E26*10</f>
        <v>382936</v>
      </c>
      <c r="F42" s="9"/>
      <c r="G42" s="9" t="s">
        <v>32</v>
      </c>
      <c r="H42" s="11"/>
      <c r="I42" s="11"/>
      <c r="J42" s="9" t="s">
        <v>33</v>
      </c>
      <c r="K42" s="83">
        <f>K40+E42+E40</f>
        <v>1412808</v>
      </c>
      <c r="L42" s="9"/>
      <c r="M42" s="9"/>
    </row>
    <row r="43" spans="1:13" x14ac:dyDescent="0.25">
      <c r="A43" s="9"/>
      <c r="B43" s="18"/>
      <c r="C43" s="9"/>
      <c r="D43" s="18"/>
      <c r="E43" s="9"/>
      <c r="F43" s="9"/>
      <c r="G43" s="9"/>
      <c r="H43" s="9"/>
      <c r="I43" s="9"/>
      <c r="J43" s="9"/>
      <c r="K43" s="9"/>
      <c r="L43" s="9"/>
      <c r="M43" s="9"/>
    </row>
    <row r="44" spans="1:13" x14ac:dyDescent="0.25">
      <c r="A44" s="246" t="s">
        <v>64</v>
      </c>
      <c r="B44" s="246"/>
      <c r="C44" s="246"/>
      <c r="D44" s="246"/>
      <c r="E44" s="246"/>
      <c r="F44" s="246"/>
      <c r="G44" s="246"/>
      <c r="H44" s="246"/>
      <c r="I44" s="246"/>
      <c r="J44" s="246"/>
      <c r="K44" s="246"/>
      <c r="L44" s="246"/>
      <c r="M44" s="246"/>
    </row>
    <row r="45" spans="1:13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</row>
    <row r="46" spans="1:13" x14ac:dyDescent="0.25">
      <c r="A46" s="9"/>
      <c r="B46" s="33" t="s">
        <v>69</v>
      </c>
      <c r="C46" s="9"/>
      <c r="D46" s="9" t="s">
        <v>66</v>
      </c>
      <c r="E46" s="9"/>
      <c r="F46" s="9"/>
      <c r="G46" s="9"/>
      <c r="H46" s="9"/>
      <c r="I46" s="9"/>
      <c r="J46" s="9"/>
      <c r="K46" s="9"/>
      <c r="L46" s="9"/>
      <c r="M46" s="9"/>
    </row>
    <row r="47" spans="1:13" x14ac:dyDescent="0.25">
      <c r="A47" s="9"/>
      <c r="B47" s="18"/>
      <c r="C47" s="9" t="s">
        <v>18</v>
      </c>
      <c r="D47" s="18" t="s">
        <v>31</v>
      </c>
      <c r="E47" s="83">
        <f>'Расчет ОПВ'!G13+'Договора ГПХ'!F8*10</f>
        <v>800000</v>
      </c>
      <c r="F47" s="9"/>
      <c r="G47" s="92" t="s">
        <v>20</v>
      </c>
      <c r="H47" s="11"/>
      <c r="I47" s="11"/>
      <c r="J47" s="8" t="s">
        <v>35</v>
      </c>
      <c r="K47" s="83">
        <f>'Расчет ОПВ'!G21+'Договора ГПХ'!F16*10</f>
        <v>500000</v>
      </c>
      <c r="L47" s="9"/>
      <c r="M47" s="9"/>
    </row>
    <row r="48" spans="1:13" x14ac:dyDescent="0.25">
      <c r="A48" s="9"/>
      <c r="B48" s="8"/>
      <c r="C48" s="9"/>
      <c r="D48" s="8"/>
      <c r="E48" s="9"/>
      <c r="F48" s="9"/>
      <c r="G48" s="9"/>
      <c r="H48" s="9"/>
      <c r="I48" s="9"/>
      <c r="J48" s="9"/>
      <c r="K48" s="9"/>
      <c r="L48" s="9"/>
      <c r="M48" s="9"/>
    </row>
    <row r="49" spans="1:13" x14ac:dyDescent="0.25">
      <c r="A49" s="9"/>
      <c r="B49" s="18"/>
      <c r="C49" s="9" t="s">
        <v>19</v>
      </c>
      <c r="D49" s="18" t="s">
        <v>34</v>
      </c>
      <c r="E49" s="83">
        <f>'Расчет ОПВ'!G17+'Договора ГПХ'!F12*10</f>
        <v>500000</v>
      </c>
      <c r="F49" s="9"/>
      <c r="G49" s="9" t="s">
        <v>32</v>
      </c>
      <c r="H49" s="11"/>
      <c r="I49" s="11"/>
      <c r="J49" s="9" t="s">
        <v>33</v>
      </c>
      <c r="K49" s="83">
        <f>K47+E49+E47</f>
        <v>1800000</v>
      </c>
      <c r="L49" s="9"/>
      <c r="M49" s="9"/>
    </row>
    <row r="50" spans="1:13" x14ac:dyDescent="0.25">
      <c r="A50" s="9"/>
      <c r="B50" s="18"/>
      <c r="C50" s="9"/>
      <c r="D50" s="18"/>
      <c r="E50" s="9"/>
      <c r="F50" s="9"/>
      <c r="G50" s="9"/>
      <c r="H50" s="9"/>
      <c r="I50" s="9"/>
      <c r="J50" s="9"/>
      <c r="K50" s="9"/>
      <c r="L50" s="9"/>
      <c r="M50" s="9"/>
    </row>
    <row r="51" spans="1:13" x14ac:dyDescent="0.25">
      <c r="A51" s="9"/>
      <c r="B51" s="33" t="s">
        <v>71</v>
      </c>
      <c r="C51" s="9"/>
      <c r="D51" s="9" t="s">
        <v>68</v>
      </c>
      <c r="E51" s="9"/>
      <c r="F51" s="9"/>
      <c r="G51" s="9"/>
      <c r="H51" s="9"/>
      <c r="I51" s="9"/>
      <c r="J51" s="9"/>
      <c r="K51" s="9"/>
      <c r="L51" s="9"/>
      <c r="M51" s="9"/>
    </row>
    <row r="52" spans="1:13" x14ac:dyDescent="0.25">
      <c r="A52" s="9"/>
      <c r="B52" s="18"/>
      <c r="C52" s="9" t="s">
        <v>18</v>
      </c>
      <c r="D52" s="18" t="s">
        <v>31</v>
      </c>
      <c r="E52" s="84"/>
      <c r="F52" s="9"/>
      <c r="G52" s="92" t="s">
        <v>20</v>
      </c>
      <c r="H52" s="11"/>
      <c r="I52" s="11"/>
      <c r="J52" s="8" t="s">
        <v>35</v>
      </c>
      <c r="K52" s="84"/>
      <c r="L52" s="9"/>
      <c r="M52" s="9"/>
    </row>
    <row r="53" spans="1:13" x14ac:dyDescent="0.25">
      <c r="A53" s="9"/>
      <c r="B53" s="8"/>
      <c r="C53" s="9"/>
      <c r="D53" s="8"/>
      <c r="E53" s="9"/>
      <c r="F53" s="9"/>
      <c r="G53" s="9"/>
      <c r="H53" s="9"/>
      <c r="I53" s="9"/>
      <c r="J53" s="9"/>
      <c r="K53" s="9"/>
      <c r="L53" s="9"/>
      <c r="M53" s="9"/>
    </row>
    <row r="54" spans="1:13" x14ac:dyDescent="0.25">
      <c r="A54" s="9"/>
      <c r="B54" s="18"/>
      <c r="C54" s="9" t="s">
        <v>19</v>
      </c>
      <c r="D54" s="18" t="s">
        <v>34</v>
      </c>
      <c r="E54" s="84"/>
      <c r="F54" s="9"/>
      <c r="G54" s="9" t="s">
        <v>32</v>
      </c>
      <c r="H54" s="11"/>
      <c r="I54" s="11"/>
      <c r="J54" s="9" t="s">
        <v>33</v>
      </c>
      <c r="K54" s="83">
        <f>K52+E54+E52</f>
        <v>0</v>
      </c>
      <c r="L54" s="9"/>
      <c r="M54" s="9"/>
    </row>
    <row r="55" spans="1:13" x14ac:dyDescent="0.25">
      <c r="A55" s="9"/>
      <c r="B55" s="18"/>
      <c r="C55" s="9"/>
      <c r="D55" s="18"/>
      <c r="E55" s="9"/>
      <c r="F55" s="9"/>
      <c r="G55" s="9"/>
      <c r="H55" s="9"/>
      <c r="I55" s="9"/>
      <c r="J55" s="9"/>
      <c r="K55" s="9"/>
      <c r="L55" s="9"/>
      <c r="M55" s="9"/>
    </row>
    <row r="56" spans="1:13" x14ac:dyDescent="0.25">
      <c r="A56" s="9"/>
      <c r="B56" s="33" t="s">
        <v>73</v>
      </c>
      <c r="C56" s="9"/>
      <c r="D56" s="9" t="s">
        <v>222</v>
      </c>
      <c r="E56" s="9"/>
      <c r="F56" s="9"/>
      <c r="G56" s="9"/>
      <c r="H56" s="9"/>
      <c r="I56" s="9"/>
      <c r="J56" s="9"/>
      <c r="K56" s="9"/>
      <c r="L56" s="9"/>
      <c r="M56" s="9"/>
    </row>
    <row r="57" spans="1:13" x14ac:dyDescent="0.25">
      <c r="A57" s="9"/>
      <c r="B57" s="18"/>
      <c r="C57" s="9" t="s">
        <v>18</v>
      </c>
      <c r="D57" s="18" t="s">
        <v>31</v>
      </c>
      <c r="E57" s="93">
        <f>E47</f>
        <v>800000</v>
      </c>
      <c r="F57" s="9"/>
      <c r="G57" s="92" t="s">
        <v>20</v>
      </c>
      <c r="H57" s="11"/>
      <c r="I57" s="11"/>
      <c r="J57" s="8" t="s">
        <v>35</v>
      </c>
      <c r="K57" s="93">
        <f>K47</f>
        <v>500000</v>
      </c>
      <c r="L57" s="9"/>
      <c r="M57" s="9"/>
    </row>
    <row r="58" spans="1:13" x14ac:dyDescent="0.25">
      <c r="A58" s="9"/>
      <c r="B58" s="8"/>
      <c r="C58" s="9"/>
      <c r="D58" s="8"/>
      <c r="E58" s="9"/>
      <c r="F58" s="9"/>
      <c r="G58" s="9"/>
      <c r="H58" s="9"/>
      <c r="I58" s="9"/>
      <c r="J58" s="9"/>
      <c r="K58" s="9"/>
      <c r="L58" s="9"/>
      <c r="M58" s="9"/>
    </row>
    <row r="59" spans="1:13" x14ac:dyDescent="0.25">
      <c r="A59" s="9"/>
      <c r="B59" s="18"/>
      <c r="C59" s="9" t="s">
        <v>19</v>
      </c>
      <c r="D59" s="18" t="s">
        <v>34</v>
      </c>
      <c r="E59" s="93">
        <f>E49</f>
        <v>500000</v>
      </c>
      <c r="F59" s="9"/>
      <c r="G59" s="9" t="s">
        <v>32</v>
      </c>
      <c r="H59" s="11"/>
      <c r="I59" s="11"/>
      <c r="J59" s="9" t="s">
        <v>33</v>
      </c>
      <c r="K59" s="83">
        <f>K57+E59+E57</f>
        <v>1800000</v>
      </c>
      <c r="L59" s="9"/>
      <c r="M59" s="9"/>
    </row>
    <row r="60" spans="1:13" x14ac:dyDescent="0.25">
      <c r="A60" s="9"/>
      <c r="B60" s="18"/>
      <c r="C60" s="9"/>
      <c r="D60" s="18"/>
      <c r="E60" s="9"/>
      <c r="F60" s="9"/>
      <c r="G60" s="9"/>
      <c r="H60" s="9"/>
      <c r="I60" s="9"/>
      <c r="J60" s="9"/>
      <c r="K60" s="9"/>
      <c r="L60" s="9"/>
      <c r="M60" s="9"/>
    </row>
    <row r="61" spans="1:13" x14ac:dyDescent="0.25">
      <c r="A61" s="9"/>
      <c r="B61" s="33" t="s">
        <v>74</v>
      </c>
      <c r="C61" s="9"/>
      <c r="D61" s="9" t="s">
        <v>70</v>
      </c>
      <c r="E61" s="9"/>
      <c r="F61" s="9"/>
      <c r="G61" s="9"/>
      <c r="H61" s="9"/>
      <c r="I61" s="9"/>
      <c r="J61" s="9"/>
      <c r="K61" s="9"/>
      <c r="L61" s="9"/>
      <c r="M61" s="9"/>
    </row>
    <row r="62" spans="1:13" x14ac:dyDescent="0.25">
      <c r="A62" s="9"/>
      <c r="B62" s="18"/>
      <c r="C62" s="9" t="s">
        <v>18</v>
      </c>
      <c r="D62" s="18" t="s">
        <v>31</v>
      </c>
      <c r="E62" s="94">
        <v>200000</v>
      </c>
      <c r="F62" s="9"/>
      <c r="G62" s="92" t="s">
        <v>20</v>
      </c>
      <c r="H62" s="11"/>
      <c r="I62" s="11"/>
      <c r="J62" s="8" t="s">
        <v>35</v>
      </c>
      <c r="K62" s="94">
        <v>200000</v>
      </c>
      <c r="L62" s="9"/>
      <c r="M62" s="9"/>
    </row>
    <row r="63" spans="1:13" x14ac:dyDescent="0.25">
      <c r="A63" s="9"/>
      <c r="B63" s="8"/>
      <c r="C63" s="9"/>
      <c r="D63" s="8"/>
      <c r="E63" s="30"/>
      <c r="F63" s="9"/>
      <c r="G63" s="9"/>
      <c r="H63" s="9"/>
      <c r="I63" s="9"/>
      <c r="J63" s="9"/>
      <c r="K63" s="9"/>
      <c r="L63" s="9"/>
      <c r="M63" s="9"/>
    </row>
    <row r="64" spans="1:13" x14ac:dyDescent="0.25">
      <c r="A64" s="9"/>
      <c r="B64" s="18"/>
      <c r="C64" s="9" t="s">
        <v>19</v>
      </c>
      <c r="D64" s="18" t="s">
        <v>34</v>
      </c>
      <c r="E64" s="94">
        <v>200000</v>
      </c>
      <c r="F64" s="9"/>
      <c r="G64" s="9" t="s">
        <v>32</v>
      </c>
      <c r="H64" s="11"/>
      <c r="I64" s="11"/>
      <c r="J64" s="9" t="s">
        <v>33</v>
      </c>
      <c r="K64" s="83">
        <f>E62+E64+K62</f>
        <v>600000</v>
      </c>
      <c r="L64" s="9"/>
      <c r="M64" s="9"/>
    </row>
    <row r="65" spans="1:13" x14ac:dyDescent="0.25">
      <c r="A65" s="9"/>
      <c r="B65" s="18"/>
      <c r="C65" s="9"/>
      <c r="D65" s="18"/>
      <c r="E65" s="9"/>
      <c r="F65" s="9"/>
      <c r="G65" s="9"/>
      <c r="H65" s="9"/>
      <c r="I65" s="9"/>
      <c r="J65" s="9"/>
      <c r="K65" s="9"/>
      <c r="L65" s="9"/>
      <c r="M65" s="9"/>
    </row>
    <row r="66" spans="1:13" x14ac:dyDescent="0.25">
      <c r="A66" s="246" t="s">
        <v>210</v>
      </c>
      <c r="B66" s="246"/>
      <c r="C66" s="246"/>
      <c r="D66" s="246"/>
      <c r="E66" s="246"/>
      <c r="F66" s="246"/>
      <c r="G66" s="246"/>
      <c r="H66" s="246"/>
      <c r="I66" s="246"/>
      <c r="J66" s="246"/>
      <c r="K66" s="246"/>
      <c r="L66" s="246"/>
      <c r="M66" s="246"/>
    </row>
    <row r="67" spans="1:13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spans="1:13" x14ac:dyDescent="0.25">
      <c r="A68" s="9"/>
      <c r="B68" s="33" t="s">
        <v>75</v>
      </c>
      <c r="C68" s="9"/>
      <c r="D68" s="9" t="s">
        <v>211</v>
      </c>
      <c r="E68" s="9"/>
      <c r="F68" s="9"/>
      <c r="G68" s="9"/>
      <c r="H68" s="9"/>
      <c r="I68" s="9"/>
      <c r="J68" s="9"/>
      <c r="K68" s="9"/>
      <c r="L68" s="9"/>
      <c r="M68" s="9"/>
    </row>
    <row r="69" spans="1:13" x14ac:dyDescent="0.25">
      <c r="A69" s="9"/>
      <c r="B69" s="9"/>
      <c r="C69" s="10" t="s">
        <v>18</v>
      </c>
      <c r="D69" s="18" t="s">
        <v>31</v>
      </c>
      <c r="E69" s="83">
        <v>0</v>
      </c>
      <c r="F69" s="9"/>
      <c r="G69" s="95" t="s">
        <v>72</v>
      </c>
      <c r="H69" s="18" t="s">
        <v>34</v>
      </c>
      <c r="I69" s="83">
        <v>0</v>
      </c>
      <c r="J69" s="9"/>
      <c r="K69" s="95" t="s">
        <v>20</v>
      </c>
      <c r="L69" s="8" t="s">
        <v>35</v>
      </c>
      <c r="M69" s="83">
        <v>0</v>
      </c>
    </row>
    <row r="70" spans="1:13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</row>
    <row r="71" spans="1:13" x14ac:dyDescent="0.25">
      <c r="A71" s="9"/>
      <c r="B71" s="33" t="s">
        <v>78</v>
      </c>
      <c r="C71" s="9"/>
      <c r="D71" s="9" t="s">
        <v>212</v>
      </c>
      <c r="E71" s="9"/>
      <c r="F71" s="9"/>
      <c r="G71" s="9"/>
      <c r="H71" s="9"/>
      <c r="I71" s="9"/>
      <c r="J71" s="9"/>
      <c r="K71" s="9"/>
      <c r="L71" s="9"/>
      <c r="M71" s="9"/>
    </row>
    <row r="72" spans="1:13" x14ac:dyDescent="0.25">
      <c r="A72" s="9"/>
      <c r="B72" s="9"/>
      <c r="C72" s="10" t="s">
        <v>18</v>
      </c>
      <c r="D72" s="18" t="s">
        <v>31</v>
      </c>
      <c r="E72" s="83">
        <v>0</v>
      </c>
      <c r="F72" s="9"/>
      <c r="G72" s="95" t="s">
        <v>72</v>
      </c>
      <c r="H72" s="18" t="s">
        <v>34</v>
      </c>
      <c r="I72" s="83">
        <v>0</v>
      </c>
      <c r="J72" s="9"/>
      <c r="K72" s="95" t="s">
        <v>20</v>
      </c>
      <c r="L72" s="8" t="s">
        <v>35</v>
      </c>
      <c r="M72" s="83">
        <v>0</v>
      </c>
    </row>
    <row r="73" spans="1:13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</row>
    <row r="74" spans="1:13" x14ac:dyDescent="0.25">
      <c r="A74" s="9"/>
      <c r="B74" s="33" t="s">
        <v>80</v>
      </c>
      <c r="C74" s="9"/>
      <c r="D74" s="9" t="s">
        <v>213</v>
      </c>
      <c r="E74" s="9"/>
      <c r="F74" s="9"/>
      <c r="G74" s="9"/>
      <c r="H74" s="9"/>
      <c r="I74" s="9"/>
      <c r="J74" s="9"/>
      <c r="K74" s="9"/>
      <c r="L74" s="9"/>
      <c r="M74" s="9"/>
    </row>
    <row r="75" spans="1:13" x14ac:dyDescent="0.25">
      <c r="A75" s="9"/>
      <c r="B75" s="9"/>
      <c r="C75" s="10" t="s">
        <v>18</v>
      </c>
      <c r="D75" s="18" t="s">
        <v>31</v>
      </c>
      <c r="E75" s="83">
        <v>0</v>
      </c>
      <c r="F75" s="9"/>
      <c r="G75" s="95" t="s">
        <v>72</v>
      </c>
      <c r="H75" s="18" t="s">
        <v>34</v>
      </c>
      <c r="I75" s="83">
        <v>0</v>
      </c>
      <c r="J75" s="9"/>
      <c r="K75" s="95" t="s">
        <v>20</v>
      </c>
      <c r="L75" s="8" t="s">
        <v>35</v>
      </c>
      <c r="M75" s="83">
        <v>0</v>
      </c>
    </row>
    <row r="76" spans="1:13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3" x14ac:dyDescent="0.25">
      <c r="A77" s="246" t="s">
        <v>164</v>
      </c>
      <c r="B77" s="246"/>
      <c r="C77" s="246"/>
      <c r="D77" s="246"/>
      <c r="E77" s="246"/>
      <c r="F77" s="246"/>
      <c r="G77" s="246"/>
      <c r="H77" s="246"/>
      <c r="I77" s="246"/>
      <c r="J77" s="246"/>
      <c r="K77" s="246"/>
      <c r="L77" s="246"/>
      <c r="M77" s="246"/>
    </row>
    <row r="78" spans="1:13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spans="1:13" x14ac:dyDescent="0.25">
      <c r="A79" s="9"/>
      <c r="B79" s="33" t="s">
        <v>144</v>
      </c>
      <c r="C79" s="9"/>
      <c r="D79" s="9" t="s">
        <v>76</v>
      </c>
      <c r="E79" s="9"/>
      <c r="F79" s="9"/>
      <c r="G79" s="9"/>
      <c r="H79" s="9"/>
      <c r="I79" s="9"/>
      <c r="J79" s="9"/>
      <c r="K79" s="9"/>
      <c r="L79" s="9"/>
      <c r="M79" s="9"/>
    </row>
    <row r="80" spans="1:13" x14ac:dyDescent="0.25">
      <c r="A80" s="9"/>
      <c r="B80" s="9"/>
      <c r="C80" s="9" t="s">
        <v>18</v>
      </c>
      <c r="D80" s="18" t="s">
        <v>31</v>
      </c>
      <c r="E80" s="96">
        <v>3</v>
      </c>
      <c r="F80" s="9"/>
      <c r="G80" s="9" t="s">
        <v>32</v>
      </c>
      <c r="H80" s="11"/>
      <c r="I80" s="11"/>
      <c r="J80" s="9" t="s">
        <v>33</v>
      </c>
      <c r="K80" s="83">
        <f>E80+E82+E84</f>
        <v>9</v>
      </c>
      <c r="L80" s="9"/>
      <c r="M80" s="9"/>
    </row>
    <row r="81" spans="1:13" x14ac:dyDescent="0.25">
      <c r="A81" s="9"/>
      <c r="B81" s="9"/>
      <c r="C81" s="9"/>
      <c r="D81" s="8"/>
      <c r="E81" s="9"/>
      <c r="F81" s="9"/>
      <c r="G81" s="9"/>
      <c r="H81" s="9"/>
      <c r="I81" s="9"/>
      <c r="J81" s="9"/>
      <c r="K81" s="9"/>
      <c r="L81" s="9"/>
      <c r="M81" s="9"/>
    </row>
    <row r="82" spans="1:13" x14ac:dyDescent="0.25">
      <c r="A82" s="9"/>
      <c r="B82" s="9"/>
      <c r="C82" s="9" t="s">
        <v>19</v>
      </c>
      <c r="D82" s="18" t="s">
        <v>34</v>
      </c>
      <c r="E82" s="96">
        <v>3</v>
      </c>
      <c r="F82" s="9"/>
      <c r="G82" s="9"/>
      <c r="H82" s="9"/>
      <c r="I82" s="9"/>
      <c r="J82" s="9"/>
      <c r="K82" s="9"/>
      <c r="L82" s="9"/>
      <c r="M82" s="9"/>
    </row>
    <row r="83" spans="1:13" x14ac:dyDescent="0.25">
      <c r="A83" s="9"/>
      <c r="B83" s="9"/>
      <c r="C83" s="9"/>
      <c r="D83" s="8"/>
      <c r="E83" s="9"/>
      <c r="F83" s="9"/>
      <c r="G83" s="9"/>
      <c r="H83" s="9"/>
      <c r="I83" s="9"/>
      <c r="J83" s="9"/>
      <c r="K83" s="9"/>
      <c r="L83" s="9"/>
      <c r="M83" s="9"/>
    </row>
    <row r="84" spans="1:13" x14ac:dyDescent="0.25">
      <c r="A84" s="9"/>
      <c r="B84" s="9"/>
      <c r="C84" s="9" t="s">
        <v>20</v>
      </c>
      <c r="D84" s="18" t="s">
        <v>35</v>
      </c>
      <c r="E84" s="96">
        <v>3</v>
      </c>
      <c r="F84" s="9"/>
      <c r="G84" s="9"/>
      <c r="H84" s="9"/>
      <c r="I84" s="9"/>
      <c r="J84" s="9"/>
      <c r="K84" s="9"/>
      <c r="L84" s="9"/>
      <c r="M84" s="9"/>
    </row>
    <row r="85" spans="1:13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</row>
    <row r="86" spans="1:13" x14ac:dyDescent="0.25">
      <c r="A86" s="246" t="s">
        <v>77</v>
      </c>
      <c r="B86" s="246"/>
      <c r="C86" s="246"/>
      <c r="D86" s="246"/>
      <c r="E86" s="246"/>
      <c r="F86" s="246"/>
      <c r="G86" s="246"/>
      <c r="H86" s="246"/>
      <c r="I86" s="246"/>
      <c r="J86" s="246"/>
      <c r="K86" s="246"/>
      <c r="L86" s="246"/>
      <c r="M86" s="246"/>
    </row>
    <row r="87" spans="1:13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</row>
    <row r="88" spans="1:13" x14ac:dyDescent="0.25">
      <c r="A88" s="9"/>
      <c r="B88" s="33" t="s">
        <v>145</v>
      </c>
      <c r="C88" s="9"/>
      <c r="D88" s="9" t="s">
        <v>79</v>
      </c>
      <c r="E88" s="9"/>
      <c r="F88" s="9"/>
      <c r="G88" s="9"/>
      <c r="H88" s="9"/>
      <c r="I88" s="9"/>
      <c r="J88" s="9"/>
      <c r="K88" s="9"/>
      <c r="L88" s="9"/>
      <c r="M88" s="9"/>
    </row>
    <row r="89" spans="1:13" x14ac:dyDescent="0.25">
      <c r="A89" s="11"/>
      <c r="B89" s="9"/>
      <c r="C89" s="9" t="s">
        <v>18</v>
      </c>
      <c r="D89" s="18" t="s">
        <v>31</v>
      </c>
      <c r="E89" s="83">
        <f>'Расчет СО и ОСМС'!H13</f>
        <v>450000</v>
      </c>
      <c r="F89" s="9"/>
      <c r="G89" s="9" t="s">
        <v>32</v>
      </c>
      <c r="H89" s="11"/>
      <c r="I89" s="11"/>
      <c r="J89" s="9" t="s">
        <v>33</v>
      </c>
      <c r="K89" s="83">
        <f>E93+E91+E89</f>
        <v>1350000</v>
      </c>
      <c r="L89" s="11"/>
      <c r="M89" s="11"/>
    </row>
    <row r="90" spans="1:13" x14ac:dyDescent="0.25">
      <c r="A90" s="11"/>
      <c r="B90" s="9"/>
      <c r="C90" s="9"/>
      <c r="D90" s="8"/>
      <c r="E90" s="9"/>
      <c r="F90" s="9"/>
      <c r="G90" s="9"/>
      <c r="H90" s="9"/>
      <c r="I90" s="9"/>
      <c r="J90" s="11"/>
      <c r="K90" s="11"/>
      <c r="L90" s="11"/>
      <c r="M90" s="11"/>
    </row>
    <row r="91" spans="1:13" x14ac:dyDescent="0.25">
      <c r="A91" s="11"/>
      <c r="B91" s="9"/>
      <c r="C91" s="9" t="s">
        <v>19</v>
      </c>
      <c r="D91" s="18" t="s">
        <v>34</v>
      </c>
      <c r="E91" s="83">
        <f>'Расчет СО и ОСМС'!H17</f>
        <v>450000</v>
      </c>
      <c r="F91" s="9"/>
      <c r="G91" s="9"/>
      <c r="H91" s="9"/>
      <c r="I91" s="9"/>
      <c r="J91" s="11"/>
      <c r="K91" s="11"/>
      <c r="L91" s="11"/>
      <c r="M91" s="11"/>
    </row>
    <row r="92" spans="1:13" x14ac:dyDescent="0.25">
      <c r="A92" s="11"/>
      <c r="B92" s="9"/>
      <c r="C92" s="9"/>
      <c r="D92" s="8"/>
      <c r="E92" s="9"/>
      <c r="F92" s="9"/>
      <c r="G92" s="9"/>
      <c r="H92" s="9"/>
      <c r="I92" s="9"/>
      <c r="J92" s="11"/>
      <c r="K92" s="11"/>
      <c r="L92" s="11"/>
      <c r="M92" s="11"/>
    </row>
    <row r="93" spans="1:13" x14ac:dyDescent="0.25">
      <c r="A93" s="11"/>
      <c r="B93" s="9"/>
      <c r="C93" s="9" t="s">
        <v>20</v>
      </c>
      <c r="D93" s="18" t="s">
        <v>35</v>
      </c>
      <c r="E93" s="83">
        <f>'Расчет СО и ОСМС'!H21</f>
        <v>450000</v>
      </c>
      <c r="F93" s="9"/>
      <c r="G93" s="9"/>
      <c r="H93" s="9"/>
      <c r="I93" s="9"/>
      <c r="J93" s="11"/>
      <c r="K93" s="11"/>
      <c r="L93" s="11"/>
      <c r="M93" s="11"/>
    </row>
    <row r="94" spans="1:13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</row>
    <row r="95" spans="1:13" x14ac:dyDescent="0.25">
      <c r="A95" s="11"/>
      <c r="B95" s="33" t="s">
        <v>200</v>
      </c>
      <c r="C95" s="9"/>
      <c r="D95" s="9" t="s">
        <v>81</v>
      </c>
      <c r="E95" s="9"/>
      <c r="F95" s="9"/>
      <c r="G95" s="9"/>
      <c r="H95" s="9"/>
      <c r="I95" s="9"/>
      <c r="J95" s="11"/>
      <c r="K95" s="11"/>
      <c r="L95" s="11"/>
      <c r="M95" s="11"/>
    </row>
    <row r="96" spans="1:13" x14ac:dyDescent="0.25">
      <c r="A96" s="11"/>
      <c r="B96" s="9"/>
      <c r="C96" s="9" t="s">
        <v>18</v>
      </c>
      <c r="D96" s="18" t="s">
        <v>31</v>
      </c>
      <c r="E96" s="94">
        <f>E62*0.9</f>
        <v>180000</v>
      </c>
      <c r="F96" s="9"/>
      <c r="G96" s="9" t="s">
        <v>32</v>
      </c>
      <c r="H96" s="11"/>
      <c r="I96" s="11"/>
      <c r="J96" s="9" t="s">
        <v>33</v>
      </c>
      <c r="K96" s="83">
        <f>E100+E98+E96</f>
        <v>540000</v>
      </c>
      <c r="L96" s="11"/>
      <c r="M96" s="11"/>
    </row>
    <row r="97" spans="1:13" x14ac:dyDescent="0.25">
      <c r="A97" s="11"/>
      <c r="B97" s="9"/>
      <c r="C97" s="9"/>
      <c r="D97" s="8"/>
      <c r="E97" s="30"/>
      <c r="F97" s="9"/>
      <c r="G97" s="9"/>
      <c r="H97" s="9"/>
      <c r="I97" s="9"/>
      <c r="J97" s="11"/>
      <c r="K97" s="11"/>
      <c r="L97" s="11"/>
      <c r="M97" s="11"/>
    </row>
    <row r="98" spans="1:13" x14ac:dyDescent="0.25">
      <c r="A98" s="11"/>
      <c r="B98" s="9"/>
      <c r="C98" s="9" t="s">
        <v>19</v>
      </c>
      <c r="D98" s="18" t="s">
        <v>34</v>
      </c>
      <c r="E98" s="94">
        <f>E64*0.9</f>
        <v>180000</v>
      </c>
      <c r="F98" s="9"/>
      <c r="G98" s="9"/>
      <c r="H98" s="9"/>
      <c r="I98" s="9"/>
      <c r="J98" s="11"/>
      <c r="K98" s="11"/>
      <c r="L98" s="11"/>
      <c r="M98" s="11"/>
    </row>
    <row r="99" spans="1:13" x14ac:dyDescent="0.25">
      <c r="A99" s="11"/>
      <c r="B99" s="9"/>
      <c r="C99" s="9"/>
      <c r="D99" s="8"/>
      <c r="E99" s="30"/>
      <c r="F99" s="9"/>
      <c r="G99" s="9"/>
      <c r="H99" s="9"/>
      <c r="I99" s="9"/>
      <c r="J99" s="11"/>
      <c r="K99" s="11"/>
      <c r="L99" s="11"/>
      <c r="M99" s="11"/>
    </row>
    <row r="100" spans="1:13" x14ac:dyDescent="0.25">
      <c r="A100" s="11"/>
      <c r="B100" s="9"/>
      <c r="C100" s="9" t="s">
        <v>20</v>
      </c>
      <c r="D100" s="18" t="s">
        <v>35</v>
      </c>
      <c r="E100" s="94">
        <f>K62*0.9</f>
        <v>180000</v>
      </c>
      <c r="F100" s="9"/>
      <c r="G100" s="9"/>
      <c r="H100" s="9"/>
      <c r="I100" s="9"/>
      <c r="J100" s="11"/>
      <c r="K100" s="11"/>
      <c r="L100" s="11"/>
      <c r="M100" s="11"/>
    </row>
    <row r="101" spans="1:13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</row>
    <row r="102" spans="1:13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</row>
    <row r="103" spans="1:13" x14ac:dyDescent="0.25">
      <c r="A103" s="246" t="s">
        <v>142</v>
      </c>
      <c r="B103" s="246"/>
      <c r="C103" s="246"/>
      <c r="D103" s="246"/>
      <c r="E103" s="246"/>
      <c r="F103" s="246"/>
      <c r="G103" s="246"/>
      <c r="H103" s="246"/>
      <c r="I103" s="246"/>
      <c r="J103" s="246"/>
      <c r="K103" s="246"/>
      <c r="L103" s="246"/>
      <c r="M103" s="246"/>
    </row>
    <row r="104" spans="1:13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</row>
    <row r="105" spans="1:13" x14ac:dyDescent="0.25">
      <c r="A105" s="9"/>
      <c r="B105" s="33" t="s">
        <v>203</v>
      </c>
      <c r="C105" s="9"/>
      <c r="D105" s="9" t="s">
        <v>143</v>
      </c>
      <c r="E105" s="9"/>
      <c r="F105" s="9"/>
      <c r="G105" s="9"/>
      <c r="H105" s="9"/>
      <c r="I105" s="9"/>
      <c r="J105" s="9"/>
      <c r="K105" s="9"/>
      <c r="L105" s="9"/>
      <c r="M105" s="9"/>
    </row>
    <row r="106" spans="1:13" x14ac:dyDescent="0.25">
      <c r="A106" s="11"/>
      <c r="B106" s="9"/>
      <c r="C106" s="9" t="s">
        <v>18</v>
      </c>
      <c r="D106" s="18" t="s">
        <v>31</v>
      </c>
      <c r="E106" s="83">
        <f>'Расчет СО и ОСМС'!L13</f>
        <v>500000</v>
      </c>
      <c r="F106" s="9"/>
      <c r="G106" s="9" t="s">
        <v>32</v>
      </c>
      <c r="H106" s="11"/>
      <c r="I106" s="11"/>
      <c r="J106" s="9" t="s">
        <v>33</v>
      </c>
      <c r="K106" s="83">
        <f>E110+E108+E106</f>
        <v>1500000</v>
      </c>
      <c r="L106" s="11"/>
      <c r="M106" s="11"/>
    </row>
    <row r="107" spans="1:13" x14ac:dyDescent="0.25">
      <c r="A107" s="11"/>
      <c r="B107" s="9"/>
      <c r="C107" s="9"/>
      <c r="D107" s="8"/>
      <c r="E107" s="9"/>
      <c r="F107" s="9"/>
      <c r="G107" s="9"/>
      <c r="H107" s="9"/>
      <c r="I107" s="9"/>
      <c r="J107" s="11"/>
      <c r="K107" s="11"/>
      <c r="L107" s="11"/>
      <c r="M107" s="11"/>
    </row>
    <row r="108" spans="1:13" x14ac:dyDescent="0.25">
      <c r="A108" s="11"/>
      <c r="B108" s="9"/>
      <c r="C108" s="9" t="s">
        <v>19</v>
      </c>
      <c r="D108" s="18" t="s">
        <v>34</v>
      </c>
      <c r="E108" s="83">
        <f>'Расчет СО и ОСМС'!L17</f>
        <v>500000</v>
      </c>
      <c r="F108" s="9"/>
      <c r="G108" s="9"/>
      <c r="H108" s="9"/>
      <c r="I108" s="9"/>
      <c r="J108" s="11"/>
      <c r="K108" s="11"/>
      <c r="L108" s="11"/>
      <c r="M108" s="11"/>
    </row>
    <row r="109" spans="1:13" x14ac:dyDescent="0.25">
      <c r="A109" s="11"/>
      <c r="B109" s="9"/>
      <c r="C109" s="9"/>
      <c r="D109" s="8"/>
      <c r="E109" s="9"/>
      <c r="F109" s="9"/>
      <c r="G109" s="9"/>
      <c r="H109" s="9"/>
      <c r="I109" s="9"/>
      <c r="J109" s="11"/>
      <c r="K109" s="11"/>
      <c r="L109" s="11"/>
      <c r="M109" s="11"/>
    </row>
    <row r="110" spans="1:13" x14ac:dyDescent="0.25">
      <c r="A110" s="11"/>
      <c r="B110" s="9"/>
      <c r="C110" s="9" t="s">
        <v>20</v>
      </c>
      <c r="D110" s="18" t="s">
        <v>35</v>
      </c>
      <c r="E110" s="83">
        <f>'Расчет СО и ОСМС'!L21</f>
        <v>500000</v>
      </c>
      <c r="F110" s="9"/>
      <c r="G110" s="9"/>
      <c r="H110" s="9"/>
      <c r="I110" s="9"/>
      <c r="J110" s="11"/>
      <c r="K110" s="11"/>
      <c r="L110" s="11"/>
      <c r="M110" s="11"/>
    </row>
    <row r="111" spans="1:13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</row>
    <row r="112" spans="1:13" x14ac:dyDescent="0.2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</row>
    <row r="113" spans="1:13" x14ac:dyDescent="0.25">
      <c r="A113" s="9"/>
      <c r="B113" s="33" t="s">
        <v>204</v>
      </c>
      <c r="C113" s="9"/>
      <c r="D113" s="9" t="s">
        <v>146</v>
      </c>
      <c r="E113" s="9"/>
      <c r="F113" s="9"/>
      <c r="G113" s="9"/>
      <c r="H113" s="9"/>
      <c r="I113" s="9"/>
      <c r="J113" s="9"/>
      <c r="K113" s="9"/>
      <c r="L113" s="9"/>
      <c r="M113" s="9"/>
    </row>
    <row r="114" spans="1:13" x14ac:dyDescent="0.25">
      <c r="A114" s="11"/>
      <c r="B114" s="9"/>
      <c r="C114" s="9" t="s">
        <v>18</v>
      </c>
      <c r="D114" s="18" t="s">
        <v>31</v>
      </c>
      <c r="E114" s="83">
        <f>'Расчет ОПВ'!Q13+'Договора ГПХ'!W8</f>
        <v>900000</v>
      </c>
      <c r="F114" s="9"/>
      <c r="G114" s="9" t="s">
        <v>32</v>
      </c>
      <c r="H114" s="11"/>
      <c r="I114" s="11"/>
      <c r="J114" s="9" t="s">
        <v>33</v>
      </c>
      <c r="K114" s="83">
        <f>E118+E116+E114</f>
        <v>2100000</v>
      </c>
      <c r="L114" s="11"/>
      <c r="M114" s="11"/>
    </row>
    <row r="115" spans="1:13" x14ac:dyDescent="0.25">
      <c r="A115" s="11"/>
      <c r="B115" s="9"/>
      <c r="C115" s="9"/>
      <c r="D115" s="8"/>
      <c r="E115" s="9"/>
      <c r="F115" s="9"/>
      <c r="G115" s="9"/>
      <c r="H115" s="9"/>
      <c r="I115" s="9"/>
      <c r="J115" s="11"/>
      <c r="K115" s="11"/>
      <c r="L115" s="11"/>
      <c r="M115" s="11"/>
    </row>
    <row r="116" spans="1:13" x14ac:dyDescent="0.25">
      <c r="A116" s="11"/>
      <c r="B116" s="9"/>
      <c r="C116" s="9" t="s">
        <v>19</v>
      </c>
      <c r="D116" s="18" t="s">
        <v>34</v>
      </c>
      <c r="E116" s="83">
        <f>'Расчет ОПВ'!Q17+'Договора ГПХ'!W12</f>
        <v>600000</v>
      </c>
      <c r="F116" s="9"/>
      <c r="G116" s="9"/>
      <c r="H116" s="9"/>
      <c r="I116" s="9"/>
      <c r="J116" s="11"/>
      <c r="K116" s="11"/>
      <c r="L116" s="11"/>
      <c r="M116" s="11"/>
    </row>
    <row r="117" spans="1:13" x14ac:dyDescent="0.25">
      <c r="A117" s="11"/>
      <c r="B117" s="9"/>
      <c r="C117" s="9"/>
      <c r="D117" s="8"/>
      <c r="E117" s="9"/>
      <c r="F117" s="9"/>
      <c r="G117" s="9"/>
      <c r="H117" s="9"/>
      <c r="I117" s="9"/>
      <c r="J117" s="11"/>
      <c r="K117" s="11"/>
      <c r="L117" s="11"/>
      <c r="M117" s="11"/>
    </row>
    <row r="118" spans="1:13" x14ac:dyDescent="0.25">
      <c r="A118" s="11"/>
      <c r="B118" s="9"/>
      <c r="C118" s="9" t="s">
        <v>20</v>
      </c>
      <c r="D118" s="18" t="s">
        <v>35</v>
      </c>
      <c r="E118" s="83">
        <f>'Расчет ОПВ'!Q21+'Договора ГПХ'!W16</f>
        <v>600000</v>
      </c>
      <c r="F118" s="9"/>
      <c r="G118" s="9"/>
      <c r="H118" s="9"/>
      <c r="I118" s="9"/>
      <c r="J118" s="11"/>
      <c r="K118" s="11"/>
      <c r="L118" s="11"/>
      <c r="M118" s="11"/>
    </row>
    <row r="119" spans="1:13" x14ac:dyDescent="0.2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</row>
    <row r="120" spans="1:13" ht="15.75" thickBot="1" x14ac:dyDescent="0.3">
      <c r="A120" s="11"/>
      <c r="B120" s="33" t="s">
        <v>223</v>
      </c>
      <c r="C120" s="9"/>
      <c r="D120" s="9" t="s">
        <v>205</v>
      </c>
      <c r="E120" s="9"/>
      <c r="F120" s="9"/>
      <c r="G120" s="9"/>
      <c r="H120" s="9"/>
      <c r="I120" s="9"/>
      <c r="J120" s="9"/>
      <c r="K120" s="9"/>
      <c r="L120" s="11"/>
      <c r="M120" s="11"/>
    </row>
    <row r="121" spans="1:13" ht="15.75" thickBot="1" x14ac:dyDescent="0.3">
      <c r="A121" s="11"/>
      <c r="B121" s="9"/>
      <c r="C121" s="9" t="s">
        <v>18</v>
      </c>
      <c r="D121" s="18" t="s">
        <v>31</v>
      </c>
      <c r="E121" s="97">
        <f>'Расчетные показатели'!B$2*1.4</f>
        <v>118999.99999999999</v>
      </c>
      <c r="F121" s="9"/>
      <c r="G121" s="9" t="s">
        <v>32</v>
      </c>
      <c r="H121" s="11"/>
      <c r="I121" s="11"/>
      <c r="J121" s="9" t="s">
        <v>33</v>
      </c>
      <c r="K121" s="97">
        <f>E125+E123+E121</f>
        <v>356999.99999999994</v>
      </c>
      <c r="L121" s="11"/>
      <c r="M121" s="11"/>
    </row>
    <row r="122" spans="1:13" ht="15.75" thickBot="1" x14ac:dyDescent="0.3">
      <c r="A122" s="11"/>
      <c r="B122" s="9"/>
      <c r="C122" s="9"/>
      <c r="D122" s="8"/>
      <c r="E122" s="9"/>
      <c r="F122" s="9"/>
      <c r="G122" s="9"/>
      <c r="H122" s="9"/>
      <c r="I122" s="9"/>
      <c r="J122" s="11"/>
      <c r="K122" s="11"/>
      <c r="L122" s="11"/>
      <c r="M122" s="11"/>
    </row>
    <row r="123" spans="1:13" ht="15.75" thickBot="1" x14ac:dyDescent="0.3">
      <c r="A123" s="11"/>
      <c r="B123" s="9"/>
      <c r="C123" s="9" t="s">
        <v>19</v>
      </c>
      <c r="D123" s="18" t="s">
        <v>34</v>
      </c>
      <c r="E123" s="97">
        <f>'Расчетные показатели'!B$2*1.4</f>
        <v>118999.99999999999</v>
      </c>
      <c r="F123" s="9"/>
      <c r="G123" s="9"/>
      <c r="H123" s="9"/>
      <c r="I123" s="9"/>
      <c r="J123" s="11"/>
      <c r="K123" s="11"/>
      <c r="L123" s="11"/>
      <c r="M123" s="11"/>
    </row>
    <row r="124" spans="1:13" ht="15.75" thickBot="1" x14ac:dyDescent="0.3">
      <c r="A124" s="11"/>
      <c r="B124" s="9"/>
      <c r="C124" s="9"/>
      <c r="D124" s="8"/>
      <c r="E124" s="9"/>
      <c r="F124" s="9"/>
      <c r="G124" s="9"/>
      <c r="H124" s="9"/>
      <c r="I124" s="9"/>
      <c r="J124" s="11"/>
      <c r="K124" s="11"/>
      <c r="L124" s="11"/>
      <c r="M124" s="11"/>
    </row>
    <row r="125" spans="1:13" ht="15.75" thickBot="1" x14ac:dyDescent="0.3">
      <c r="A125" s="11"/>
      <c r="B125" s="9"/>
      <c r="C125" s="9" t="s">
        <v>20</v>
      </c>
      <c r="D125" s="18" t="s">
        <v>35</v>
      </c>
      <c r="E125" s="97">
        <f>'Расчетные показатели'!B$2*1.4</f>
        <v>118999.99999999999</v>
      </c>
      <c r="F125" s="9"/>
      <c r="G125" s="9"/>
      <c r="H125" s="9"/>
      <c r="I125" s="9"/>
      <c r="J125" s="11"/>
      <c r="K125" s="11"/>
      <c r="L125" s="11"/>
      <c r="M125" s="11"/>
    </row>
  </sheetData>
  <mergeCells count="9">
    <mergeCell ref="A1:M1"/>
    <mergeCell ref="A103:M103"/>
    <mergeCell ref="D32:I32"/>
    <mergeCell ref="A86:M86"/>
    <mergeCell ref="A77:M77"/>
    <mergeCell ref="A44:M44"/>
    <mergeCell ref="A66:M66"/>
    <mergeCell ref="A2:M2"/>
    <mergeCell ref="D30:I30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1"/>
  <sheetViews>
    <sheetView workbookViewId="0">
      <selection activeCell="P3" sqref="P3"/>
    </sheetView>
  </sheetViews>
  <sheetFormatPr defaultColWidth="8.85546875" defaultRowHeight="12.75" x14ac:dyDescent="0.2"/>
  <cols>
    <col min="1" max="1" width="3" style="42" customWidth="1"/>
    <col min="2" max="2" width="21.28515625" style="42" customWidth="1"/>
    <col min="3" max="3" width="13.7109375" style="42" customWidth="1"/>
    <col min="4" max="5" width="13.28515625" style="42" customWidth="1"/>
    <col min="6" max="7" width="11.7109375" style="42" customWidth="1"/>
    <col min="8" max="8" width="14.7109375" style="42" customWidth="1"/>
    <col min="9" max="9" width="13.85546875" style="42" bestFit="1" customWidth="1"/>
    <col min="10" max="10" width="12.7109375" style="42" bestFit="1" customWidth="1"/>
    <col min="11" max="13" width="15.5703125" style="42" customWidth="1"/>
    <col min="14" max="14" width="13.85546875" style="42" customWidth="1"/>
    <col min="15" max="18" width="12.7109375" style="42" customWidth="1"/>
    <col min="19" max="16384" width="8.85546875" style="42"/>
  </cols>
  <sheetData>
    <row r="1" spans="1:19" ht="19.5" customHeight="1" x14ac:dyDescent="0.2">
      <c r="A1" s="40" t="s">
        <v>82</v>
      </c>
      <c r="B1" s="41" t="s">
        <v>98</v>
      </c>
      <c r="F1" s="253"/>
      <c r="G1" s="253"/>
      <c r="H1" s="253"/>
      <c r="I1" s="43"/>
      <c r="J1" s="43"/>
      <c r="K1" s="11"/>
      <c r="L1" s="11"/>
      <c r="M1" s="11"/>
    </row>
    <row r="2" spans="1:19" x14ac:dyDescent="0.2">
      <c r="A2" s="40" t="s">
        <v>83</v>
      </c>
      <c r="B2" s="41" t="s">
        <v>99</v>
      </c>
      <c r="F2" s="253"/>
      <c r="G2" s="253"/>
      <c r="H2" s="253"/>
      <c r="I2" s="11"/>
      <c r="J2" s="11"/>
      <c r="K2" s="11"/>
      <c r="L2" s="11"/>
      <c r="M2" s="11"/>
    </row>
    <row r="3" spans="1:19" x14ac:dyDescent="0.2">
      <c r="A3" s="11"/>
      <c r="B3" s="44" t="s">
        <v>84</v>
      </c>
      <c r="F3" s="45"/>
      <c r="G3" s="45"/>
      <c r="H3" s="45"/>
      <c r="I3" s="45"/>
      <c r="J3" s="45"/>
      <c r="K3" s="11"/>
      <c r="L3" s="11"/>
      <c r="M3" s="11"/>
    </row>
    <row r="4" spans="1:19" x14ac:dyDescent="0.2">
      <c r="A4" s="46" t="s">
        <v>85</v>
      </c>
      <c r="B4" s="11" t="s">
        <v>100</v>
      </c>
      <c r="C4" s="42" t="str">
        <f>'200.00 '!J14</f>
        <v>ИП Базаев АА</v>
      </c>
      <c r="F4" s="253"/>
      <c r="G4" s="253"/>
      <c r="H4" s="253"/>
      <c r="I4" s="11"/>
      <c r="J4" s="11"/>
      <c r="K4" s="11"/>
      <c r="L4" s="11"/>
      <c r="M4" s="11"/>
    </row>
    <row r="5" spans="1:19" x14ac:dyDescent="0.2">
      <c r="A5" s="46" t="s">
        <v>86</v>
      </c>
      <c r="B5" s="11" t="s">
        <v>101</v>
      </c>
      <c r="F5" s="11" t="s">
        <v>102</v>
      </c>
      <c r="G5" s="45">
        <f>'200.00 '!J12</f>
        <v>1</v>
      </c>
      <c r="H5" s="11" t="s">
        <v>103</v>
      </c>
      <c r="I5" s="45">
        <f>'200.00 '!M12</f>
        <v>2024</v>
      </c>
      <c r="J5" s="11"/>
      <c r="K5" s="11"/>
      <c r="L5" s="11"/>
      <c r="M5" s="11"/>
    </row>
    <row r="6" spans="1:19" x14ac:dyDescent="0.2">
      <c r="A6" s="46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9" x14ac:dyDescent="0.2">
      <c r="A7" s="11"/>
      <c r="B7" s="47" t="s">
        <v>284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spans="1:19" ht="13.5" thickBo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 t="s">
        <v>87</v>
      </c>
      <c r="L8" s="11"/>
      <c r="M8" s="11"/>
    </row>
    <row r="9" spans="1:19" ht="102.75" customHeight="1" thickBot="1" x14ac:dyDescent="0.25">
      <c r="A9" s="48" t="s">
        <v>88</v>
      </c>
      <c r="B9" s="49" t="s">
        <v>89</v>
      </c>
      <c r="C9" s="49" t="s">
        <v>226</v>
      </c>
      <c r="D9" s="49" t="s">
        <v>91</v>
      </c>
      <c r="E9" s="49" t="s">
        <v>276</v>
      </c>
      <c r="F9" s="49" t="s">
        <v>92</v>
      </c>
      <c r="G9" s="49" t="s">
        <v>93</v>
      </c>
      <c r="H9" s="49" t="s">
        <v>277</v>
      </c>
      <c r="I9" s="49" t="s">
        <v>278</v>
      </c>
      <c r="J9" s="49" t="s">
        <v>279</v>
      </c>
      <c r="K9" s="50" t="s">
        <v>280</v>
      </c>
      <c r="L9" s="50" t="s">
        <v>106</v>
      </c>
      <c r="M9" s="50" t="s">
        <v>227</v>
      </c>
      <c r="N9" s="51" t="s">
        <v>185</v>
      </c>
      <c r="O9" s="51" t="s">
        <v>186</v>
      </c>
      <c r="P9" s="51" t="s">
        <v>187</v>
      </c>
      <c r="Q9" s="51" t="s">
        <v>188</v>
      </c>
      <c r="R9" s="51" t="s">
        <v>189</v>
      </c>
      <c r="S9" s="52" t="s">
        <v>224</v>
      </c>
    </row>
    <row r="10" spans="1:19" x14ac:dyDescent="0.2">
      <c r="A10" s="53">
        <v>1</v>
      </c>
      <c r="B10" s="54">
        <v>2</v>
      </c>
      <c r="C10" s="54">
        <v>3</v>
      </c>
      <c r="D10" s="54">
        <v>4</v>
      </c>
      <c r="E10" s="54">
        <v>5</v>
      </c>
      <c r="F10" s="55">
        <v>6</v>
      </c>
      <c r="G10" s="54">
        <v>7</v>
      </c>
      <c r="H10" s="55">
        <v>8</v>
      </c>
      <c r="I10" s="54">
        <v>9</v>
      </c>
      <c r="J10" s="55">
        <v>10</v>
      </c>
      <c r="K10" s="56">
        <v>11</v>
      </c>
      <c r="L10" s="56">
        <v>12</v>
      </c>
      <c r="M10" s="56">
        <v>13</v>
      </c>
      <c r="N10" s="57">
        <v>14</v>
      </c>
      <c r="O10" s="57">
        <v>15</v>
      </c>
      <c r="P10" s="57">
        <v>16</v>
      </c>
      <c r="Q10" s="57">
        <v>17</v>
      </c>
      <c r="R10" s="57">
        <v>18</v>
      </c>
      <c r="S10" s="57">
        <v>19</v>
      </c>
    </row>
    <row r="11" spans="1:19" ht="25.5" hidden="1" x14ac:dyDescent="0.2">
      <c r="A11" s="58"/>
      <c r="B11" s="59"/>
      <c r="C11" s="59"/>
      <c r="D11" s="60"/>
      <c r="E11" s="60"/>
      <c r="F11" s="60"/>
      <c r="G11" s="61" t="s">
        <v>154</v>
      </c>
      <c r="H11" s="62" t="s">
        <v>155</v>
      </c>
      <c r="I11" s="62" t="s">
        <v>168</v>
      </c>
      <c r="J11" s="62" t="s">
        <v>156</v>
      </c>
      <c r="K11" s="63" t="s">
        <v>157</v>
      </c>
      <c r="L11" s="63"/>
      <c r="M11" s="61" t="s">
        <v>158</v>
      </c>
      <c r="N11" s="64"/>
      <c r="O11" s="61" t="s">
        <v>191</v>
      </c>
      <c r="P11" s="61" t="s">
        <v>190</v>
      </c>
      <c r="Q11" s="61" t="s">
        <v>192</v>
      </c>
      <c r="R11" s="61" t="s">
        <v>206</v>
      </c>
      <c r="S11" s="61" t="s">
        <v>225</v>
      </c>
    </row>
    <row r="12" spans="1:19" hidden="1" x14ac:dyDescent="0.2">
      <c r="A12" s="58"/>
      <c r="B12" s="59" t="s">
        <v>166</v>
      </c>
      <c r="C12" s="59"/>
      <c r="D12" s="60"/>
      <c r="E12" s="60"/>
      <c r="F12" s="60"/>
      <c r="G12" s="61"/>
      <c r="H12" s="65">
        <v>0.1</v>
      </c>
      <c r="I12" s="62"/>
      <c r="J12" s="65">
        <v>0.1</v>
      </c>
      <c r="K12" s="66"/>
      <c r="L12" s="66"/>
      <c r="M12" s="61"/>
      <c r="N12" s="64"/>
      <c r="O12" s="64"/>
      <c r="P12" s="64"/>
      <c r="Q12" s="64"/>
      <c r="R12" s="64"/>
      <c r="S12" s="64"/>
    </row>
    <row r="13" spans="1:19" x14ac:dyDescent="0.2">
      <c r="A13" s="58"/>
      <c r="B13" s="67" t="s">
        <v>269</v>
      </c>
      <c r="C13" s="68">
        <f>SUM(C14:C16)</f>
        <v>0</v>
      </c>
      <c r="D13" s="68">
        <f>SUM(D14:D16)</f>
        <v>600000</v>
      </c>
      <c r="E13" s="68"/>
      <c r="F13" s="68">
        <f t="shared" ref="F13:S13" si="0">SUM(F14:F16)</f>
        <v>0</v>
      </c>
      <c r="G13" s="68">
        <f t="shared" si="0"/>
        <v>500000</v>
      </c>
      <c r="H13" s="68">
        <f t="shared" si="0"/>
        <v>50000</v>
      </c>
      <c r="I13" s="68">
        <f t="shared" si="0"/>
        <v>12750000</v>
      </c>
      <c r="J13" s="68">
        <f t="shared" si="0"/>
        <v>1275000</v>
      </c>
      <c r="K13" s="68">
        <f t="shared" si="0"/>
        <v>50000</v>
      </c>
      <c r="L13" s="68">
        <f t="shared" si="0"/>
        <v>50000</v>
      </c>
      <c r="M13" s="68">
        <f t="shared" si="0"/>
        <v>0</v>
      </c>
      <c r="N13" s="68">
        <f t="shared" si="0"/>
        <v>0</v>
      </c>
      <c r="O13" s="68">
        <f t="shared" si="0"/>
        <v>600000</v>
      </c>
      <c r="P13" s="68">
        <f t="shared" si="0"/>
        <v>2550000</v>
      </c>
      <c r="Q13" s="68">
        <f t="shared" si="0"/>
        <v>600000</v>
      </c>
      <c r="R13" s="68">
        <f t="shared" si="0"/>
        <v>12000</v>
      </c>
      <c r="S13" s="68">
        <f t="shared" si="0"/>
        <v>7500</v>
      </c>
    </row>
    <row r="14" spans="1:19" ht="14.65" customHeight="1" x14ac:dyDescent="0.2">
      <c r="A14" s="69">
        <v>1</v>
      </c>
      <c r="B14" s="70" t="s">
        <v>272</v>
      </c>
      <c r="C14" s="71"/>
      <c r="D14" s="71">
        <v>200000</v>
      </c>
      <c r="E14" s="71"/>
      <c r="F14" s="71"/>
      <c r="G14" s="71">
        <f>IF(E14=1,0,D14-F14)</f>
        <v>200000</v>
      </c>
      <c r="H14" s="71">
        <f>G14*$H$12</f>
        <v>20000</v>
      </c>
      <c r="I14" s="71">
        <f>50*'Расчетные показатели'!B$2</f>
        <v>4250000</v>
      </c>
      <c r="J14" s="71">
        <f>I14*J$12</f>
        <v>425000</v>
      </c>
      <c r="K14" s="71">
        <f>IF(J14&lt;H14,J14,H14)</f>
        <v>20000</v>
      </c>
      <c r="L14" s="71">
        <f>K14</f>
        <v>20000</v>
      </c>
      <c r="M14" s="71">
        <f>C14+K14-L14</f>
        <v>0</v>
      </c>
      <c r="N14" s="71"/>
      <c r="O14" s="237">
        <f>D14-N14</f>
        <v>200000</v>
      </c>
      <c r="P14" s="237">
        <f>10*'Расчетные показатели'!B$2</f>
        <v>850000</v>
      </c>
      <c r="Q14" s="237">
        <f>IF(O14&lt;P14,O14,P14)</f>
        <v>200000</v>
      </c>
      <c r="R14" s="237">
        <f>Q14*2%</f>
        <v>4000</v>
      </c>
      <c r="S14" s="237">
        <f>G14*1.5%</f>
        <v>3000</v>
      </c>
    </row>
    <row r="15" spans="1:19" ht="14.65" customHeight="1" x14ac:dyDescent="0.2">
      <c r="A15" s="69">
        <v>2</v>
      </c>
      <c r="B15" s="70" t="s">
        <v>273</v>
      </c>
      <c r="C15" s="71"/>
      <c r="D15" s="71">
        <v>300000</v>
      </c>
      <c r="E15" s="71"/>
      <c r="F15" s="71"/>
      <c r="G15" s="71">
        <f t="shared" ref="G15:G16" si="1">IF(E15=1,0,D15-F15)</f>
        <v>300000</v>
      </c>
      <c r="H15" s="71">
        <f>G15*$H$12</f>
        <v>30000</v>
      </c>
      <c r="I15" s="71">
        <f>50*'Расчетные показатели'!B$2</f>
        <v>4250000</v>
      </c>
      <c r="J15" s="71">
        <f t="shared" ref="J15:J16" si="2">I15*J$12</f>
        <v>425000</v>
      </c>
      <c r="K15" s="71">
        <f t="shared" ref="K15:K16" si="3">IF(J15&lt;H15,J15,H15)</f>
        <v>30000</v>
      </c>
      <c r="L15" s="71">
        <f t="shared" ref="L15:L25" si="4">K15</f>
        <v>30000</v>
      </c>
      <c r="M15" s="71">
        <f>C15+K15-L15</f>
        <v>0</v>
      </c>
      <c r="N15" s="71"/>
      <c r="O15" s="237">
        <f>D15-N15</f>
        <v>300000</v>
      </c>
      <c r="P15" s="237">
        <f>10*'Расчетные показатели'!B$2</f>
        <v>850000</v>
      </c>
      <c r="Q15" s="237">
        <f t="shared" ref="Q15:Q16" si="5">IF(O15&lt;P15,O15,P15)</f>
        <v>300000</v>
      </c>
      <c r="R15" s="237">
        <f t="shared" ref="R15" si="6">Q15*2%</f>
        <v>6000</v>
      </c>
      <c r="S15" s="237">
        <f>G15*1.5%</f>
        <v>4500</v>
      </c>
    </row>
    <row r="16" spans="1:19" ht="14.65" customHeight="1" x14ac:dyDescent="0.2">
      <c r="A16" s="69">
        <v>3</v>
      </c>
      <c r="B16" s="70" t="s">
        <v>274</v>
      </c>
      <c r="C16" s="71"/>
      <c r="D16" s="71">
        <v>100000</v>
      </c>
      <c r="E16" s="71">
        <v>1</v>
      </c>
      <c r="F16" s="71"/>
      <c r="G16" s="71">
        <f t="shared" si="1"/>
        <v>0</v>
      </c>
      <c r="H16" s="71">
        <f>G16*$H$12</f>
        <v>0</v>
      </c>
      <c r="I16" s="71">
        <f>50*'Расчетные показатели'!B$2</f>
        <v>4250000</v>
      </c>
      <c r="J16" s="71">
        <f t="shared" si="2"/>
        <v>425000</v>
      </c>
      <c r="K16" s="71">
        <f t="shared" si="3"/>
        <v>0</v>
      </c>
      <c r="L16" s="71">
        <f t="shared" si="4"/>
        <v>0</v>
      </c>
      <c r="M16" s="71">
        <f>C16+K16-L16</f>
        <v>0</v>
      </c>
      <c r="N16" s="71"/>
      <c r="O16" s="237">
        <f>D16-N16</f>
        <v>100000</v>
      </c>
      <c r="P16" s="237">
        <f>10*'Расчетные показатели'!B$2</f>
        <v>850000</v>
      </c>
      <c r="Q16" s="237">
        <f t="shared" si="5"/>
        <v>100000</v>
      </c>
      <c r="R16" s="237">
        <f>Q16*2%</f>
        <v>2000</v>
      </c>
      <c r="S16" s="237">
        <f>G16*1.5%</f>
        <v>0</v>
      </c>
    </row>
    <row r="17" spans="1:19" x14ac:dyDescent="0.2">
      <c r="A17" s="72"/>
      <c r="B17" s="67" t="s">
        <v>270</v>
      </c>
      <c r="C17" s="68">
        <f>SUM(C18:C20)</f>
        <v>0</v>
      </c>
      <c r="D17" s="68">
        <f>SUM(D18:D20)</f>
        <v>600000</v>
      </c>
      <c r="E17" s="68"/>
      <c r="F17" s="68">
        <f t="shared" ref="F17:K17" si="7">SUM(F18:F20)</f>
        <v>0</v>
      </c>
      <c r="G17" s="68">
        <f t="shared" si="7"/>
        <v>500000</v>
      </c>
      <c r="H17" s="68">
        <f t="shared" si="7"/>
        <v>50000</v>
      </c>
      <c r="I17" s="68">
        <f t="shared" si="7"/>
        <v>12750000</v>
      </c>
      <c r="J17" s="68">
        <f t="shared" si="7"/>
        <v>1275000</v>
      </c>
      <c r="K17" s="68">
        <f t="shared" si="7"/>
        <v>50000</v>
      </c>
      <c r="L17" s="238">
        <f t="shared" si="4"/>
        <v>50000</v>
      </c>
      <c r="M17" s="68">
        <f t="shared" ref="M17:S17" si="8">SUM(M18:M20)</f>
        <v>0</v>
      </c>
      <c r="N17" s="68">
        <f t="shared" si="8"/>
        <v>0</v>
      </c>
      <c r="O17" s="68">
        <f t="shared" si="8"/>
        <v>600000</v>
      </c>
      <c r="P17" s="68">
        <f t="shared" si="8"/>
        <v>2550000</v>
      </c>
      <c r="Q17" s="68">
        <f t="shared" si="8"/>
        <v>600000</v>
      </c>
      <c r="R17" s="68">
        <f t="shared" si="8"/>
        <v>12000</v>
      </c>
      <c r="S17" s="68">
        <f t="shared" si="8"/>
        <v>7500</v>
      </c>
    </row>
    <row r="18" spans="1:19" ht="14.65" customHeight="1" x14ac:dyDescent="0.2">
      <c r="A18" s="72">
        <v>1</v>
      </c>
      <c r="B18" s="70" t="s">
        <v>272</v>
      </c>
      <c r="C18" s="71"/>
      <c r="D18" s="71">
        <v>200000</v>
      </c>
      <c r="E18" s="71"/>
      <c r="F18" s="239"/>
      <c r="G18" s="71">
        <f t="shared" ref="G18:G20" si="9">IF(E18=1,0,D18-F18)</f>
        <v>200000</v>
      </c>
      <c r="H18" s="71">
        <f>G18*$H$12</f>
        <v>20000</v>
      </c>
      <c r="I18" s="71">
        <f>50*'Расчетные показатели'!B$2</f>
        <v>4250000</v>
      </c>
      <c r="J18" s="71">
        <f>I18*J$12</f>
        <v>425000</v>
      </c>
      <c r="K18" s="71">
        <f>IF(J18&lt;H18,J18,H18)</f>
        <v>20000</v>
      </c>
      <c r="L18" s="71">
        <f t="shared" si="4"/>
        <v>20000</v>
      </c>
      <c r="M18" s="71">
        <f>C18+K18-L18</f>
        <v>0</v>
      </c>
      <c r="N18" s="71"/>
      <c r="O18" s="237">
        <f>D18-N18</f>
        <v>200000</v>
      </c>
      <c r="P18" s="237">
        <f>10*'Расчетные показатели'!B$2</f>
        <v>850000</v>
      </c>
      <c r="Q18" s="237">
        <f>IF(O18&lt;P18,O18,P18)</f>
        <v>200000</v>
      </c>
      <c r="R18" s="237">
        <f>Q18*2%</f>
        <v>4000</v>
      </c>
      <c r="S18" s="237">
        <f>G18*1.5%</f>
        <v>3000</v>
      </c>
    </row>
    <row r="19" spans="1:19" ht="14.65" customHeight="1" x14ac:dyDescent="0.2">
      <c r="A19" s="72">
        <v>2</v>
      </c>
      <c r="B19" s="70" t="s">
        <v>273</v>
      </c>
      <c r="C19" s="71"/>
      <c r="D19" s="71">
        <v>300000</v>
      </c>
      <c r="E19" s="71"/>
      <c r="F19" s="71"/>
      <c r="G19" s="71">
        <f t="shared" si="9"/>
        <v>300000</v>
      </c>
      <c r="H19" s="71">
        <f>G19*$H$12</f>
        <v>30000</v>
      </c>
      <c r="I19" s="71">
        <f>50*'Расчетные показатели'!B$2</f>
        <v>4250000</v>
      </c>
      <c r="J19" s="71">
        <f t="shared" ref="J19:J20" si="10">I19*J$12</f>
        <v>425000</v>
      </c>
      <c r="K19" s="71">
        <f t="shared" ref="K19:K24" si="11">IF(J19&lt;H19,J19,H19)</f>
        <v>30000</v>
      </c>
      <c r="L19" s="71">
        <f t="shared" si="4"/>
        <v>30000</v>
      </c>
      <c r="M19" s="71">
        <f>C19+K19-L19</f>
        <v>0</v>
      </c>
      <c r="N19" s="71"/>
      <c r="O19" s="237">
        <f>D19-N19</f>
        <v>300000</v>
      </c>
      <c r="P19" s="237">
        <f>10*'Расчетные показатели'!B$2</f>
        <v>850000</v>
      </c>
      <c r="Q19" s="237">
        <f t="shared" ref="Q19:Q20" si="12">IF(O19&lt;P19,O19,P19)</f>
        <v>300000</v>
      </c>
      <c r="R19" s="237">
        <f t="shared" ref="R19:R20" si="13">Q19*2%</f>
        <v>6000</v>
      </c>
      <c r="S19" s="237">
        <f>G19*1.5%</f>
        <v>4500</v>
      </c>
    </row>
    <row r="20" spans="1:19" ht="14.65" customHeight="1" x14ac:dyDescent="0.2">
      <c r="A20" s="72">
        <v>3</v>
      </c>
      <c r="B20" s="70" t="s">
        <v>274</v>
      </c>
      <c r="C20" s="71"/>
      <c r="D20" s="71">
        <v>100000</v>
      </c>
      <c r="E20" s="71">
        <v>1</v>
      </c>
      <c r="F20" s="71"/>
      <c r="G20" s="71">
        <f t="shared" si="9"/>
        <v>0</v>
      </c>
      <c r="H20" s="71">
        <f>G20*$H$12</f>
        <v>0</v>
      </c>
      <c r="I20" s="71">
        <f>50*'Расчетные показатели'!B$2</f>
        <v>4250000</v>
      </c>
      <c r="J20" s="71">
        <f t="shared" si="10"/>
        <v>425000</v>
      </c>
      <c r="K20" s="71">
        <f t="shared" si="11"/>
        <v>0</v>
      </c>
      <c r="L20" s="71">
        <f t="shared" si="4"/>
        <v>0</v>
      </c>
      <c r="M20" s="71">
        <f>C20+K20-L20</f>
        <v>0</v>
      </c>
      <c r="N20" s="71"/>
      <c r="O20" s="237">
        <f>D20-N20</f>
        <v>100000</v>
      </c>
      <c r="P20" s="237">
        <f>10*'Расчетные показатели'!B$2</f>
        <v>850000</v>
      </c>
      <c r="Q20" s="237">
        <f t="shared" si="12"/>
        <v>100000</v>
      </c>
      <c r="R20" s="237">
        <f t="shared" si="13"/>
        <v>2000</v>
      </c>
      <c r="S20" s="237">
        <f>G20*1.5%</f>
        <v>0</v>
      </c>
    </row>
    <row r="21" spans="1:19" ht="13.9" customHeight="1" x14ac:dyDescent="0.2">
      <c r="A21" s="72"/>
      <c r="B21" s="67" t="s">
        <v>271</v>
      </c>
      <c r="C21" s="68">
        <f>SUM(C22:C24)</f>
        <v>0</v>
      </c>
      <c r="D21" s="68">
        <f>SUM(D22:D24)</f>
        <v>600000</v>
      </c>
      <c r="E21" s="68"/>
      <c r="F21" s="68">
        <f t="shared" ref="F21:K21" si="14">SUM(F22:F24)</f>
        <v>0</v>
      </c>
      <c r="G21" s="68">
        <f t="shared" si="14"/>
        <v>500000</v>
      </c>
      <c r="H21" s="68">
        <f t="shared" si="14"/>
        <v>50000</v>
      </c>
      <c r="I21" s="68">
        <f t="shared" si="14"/>
        <v>12750000</v>
      </c>
      <c r="J21" s="68">
        <f t="shared" si="14"/>
        <v>1275000</v>
      </c>
      <c r="K21" s="68">
        <f t="shared" si="14"/>
        <v>50000</v>
      </c>
      <c r="L21" s="238">
        <f t="shared" si="4"/>
        <v>50000</v>
      </c>
      <c r="M21" s="68">
        <f t="shared" ref="M21:S21" si="15">SUM(M22:M24)</f>
        <v>0</v>
      </c>
      <c r="N21" s="68">
        <f t="shared" si="15"/>
        <v>0</v>
      </c>
      <c r="O21" s="68">
        <f t="shared" si="15"/>
        <v>600000</v>
      </c>
      <c r="P21" s="68">
        <f t="shared" si="15"/>
        <v>2550000</v>
      </c>
      <c r="Q21" s="68">
        <f t="shared" si="15"/>
        <v>600000</v>
      </c>
      <c r="R21" s="68">
        <f t="shared" si="15"/>
        <v>12000</v>
      </c>
      <c r="S21" s="68">
        <f t="shared" si="15"/>
        <v>7500</v>
      </c>
    </row>
    <row r="22" spans="1:19" ht="13.9" customHeight="1" x14ac:dyDescent="0.2">
      <c r="A22" s="69">
        <v>1</v>
      </c>
      <c r="B22" s="70" t="s">
        <v>272</v>
      </c>
      <c r="C22" s="71"/>
      <c r="D22" s="71">
        <v>200000</v>
      </c>
      <c r="E22" s="71"/>
      <c r="F22" s="239"/>
      <c r="G22" s="71">
        <f t="shared" ref="G22:G24" si="16">IF(E22=1,0,D22-F22)</f>
        <v>200000</v>
      </c>
      <c r="H22" s="71">
        <f>G22*$H$12</f>
        <v>20000</v>
      </c>
      <c r="I22" s="71">
        <f>50*'Расчетные показатели'!B$2</f>
        <v>4250000</v>
      </c>
      <c r="J22" s="71">
        <f>I22*J$12</f>
        <v>425000</v>
      </c>
      <c r="K22" s="71">
        <f t="shared" si="11"/>
        <v>20000</v>
      </c>
      <c r="L22" s="71">
        <f t="shared" si="4"/>
        <v>20000</v>
      </c>
      <c r="M22" s="71">
        <f>C22+K22-L22</f>
        <v>0</v>
      </c>
      <c r="N22" s="71"/>
      <c r="O22" s="237">
        <f>D22-N22</f>
        <v>200000</v>
      </c>
      <c r="P22" s="237">
        <f>10*'Расчетные показатели'!B$2</f>
        <v>850000</v>
      </c>
      <c r="Q22" s="237">
        <f>IF(O22&lt;P22,O22,P22)</f>
        <v>200000</v>
      </c>
      <c r="R22" s="237">
        <f>Q22*2%</f>
        <v>4000</v>
      </c>
      <c r="S22" s="237">
        <f>G22*1.5%</f>
        <v>3000</v>
      </c>
    </row>
    <row r="23" spans="1:19" ht="13.9" customHeight="1" x14ac:dyDescent="0.2">
      <c r="A23" s="72">
        <v>2</v>
      </c>
      <c r="B23" s="70" t="s">
        <v>273</v>
      </c>
      <c r="C23" s="71"/>
      <c r="D23" s="71">
        <v>300000</v>
      </c>
      <c r="E23" s="71"/>
      <c r="F23" s="71"/>
      <c r="G23" s="71">
        <f t="shared" si="16"/>
        <v>300000</v>
      </c>
      <c r="H23" s="71">
        <f>G23*$H$12</f>
        <v>30000</v>
      </c>
      <c r="I23" s="71">
        <f>50*'Расчетные показатели'!B$2</f>
        <v>4250000</v>
      </c>
      <c r="J23" s="71">
        <f t="shared" ref="J23:J24" si="17">I23*J$12</f>
        <v>425000</v>
      </c>
      <c r="K23" s="71">
        <f t="shared" si="11"/>
        <v>30000</v>
      </c>
      <c r="L23" s="71">
        <f t="shared" si="4"/>
        <v>30000</v>
      </c>
      <c r="M23" s="71">
        <f>C23+K23-L23</f>
        <v>0</v>
      </c>
      <c r="N23" s="71"/>
      <c r="O23" s="237">
        <f>D23-N23</f>
        <v>300000</v>
      </c>
      <c r="P23" s="237">
        <f>10*'Расчетные показатели'!B$2</f>
        <v>850000</v>
      </c>
      <c r="Q23" s="237">
        <f t="shared" ref="Q23:Q24" si="18">IF(O23&lt;P23,O23,P23)</f>
        <v>300000</v>
      </c>
      <c r="R23" s="237">
        <f t="shared" ref="R23" si="19">Q23*2%</f>
        <v>6000</v>
      </c>
      <c r="S23" s="237">
        <f>G23*1.5%</f>
        <v>4500</v>
      </c>
    </row>
    <row r="24" spans="1:19" ht="13.9" customHeight="1" x14ac:dyDescent="0.2">
      <c r="A24" s="69">
        <v>3</v>
      </c>
      <c r="B24" s="70" t="s">
        <v>274</v>
      </c>
      <c r="C24" s="71"/>
      <c r="D24" s="71">
        <v>100000</v>
      </c>
      <c r="E24" s="71">
        <v>1</v>
      </c>
      <c r="F24" s="71"/>
      <c r="G24" s="71">
        <f t="shared" si="16"/>
        <v>0</v>
      </c>
      <c r="H24" s="71">
        <f>G24*$H$12</f>
        <v>0</v>
      </c>
      <c r="I24" s="71">
        <f>50*'Расчетные показатели'!B$2</f>
        <v>4250000</v>
      </c>
      <c r="J24" s="71">
        <f t="shared" si="17"/>
        <v>425000</v>
      </c>
      <c r="K24" s="71">
        <f t="shared" si="11"/>
        <v>0</v>
      </c>
      <c r="L24" s="71">
        <f t="shared" si="4"/>
        <v>0</v>
      </c>
      <c r="M24" s="71">
        <f>C24+K24-L24</f>
        <v>0</v>
      </c>
      <c r="N24" s="71"/>
      <c r="O24" s="237">
        <f>D24-N24</f>
        <v>100000</v>
      </c>
      <c r="P24" s="237">
        <f>10*'Расчетные показатели'!B$2</f>
        <v>850000</v>
      </c>
      <c r="Q24" s="237">
        <f t="shared" si="18"/>
        <v>100000</v>
      </c>
      <c r="R24" s="237">
        <f>Q24*2%</f>
        <v>2000</v>
      </c>
      <c r="S24" s="237">
        <f>G24*1.5%</f>
        <v>0</v>
      </c>
    </row>
    <row r="25" spans="1:19" ht="13.5" thickBot="1" x14ac:dyDescent="0.25">
      <c r="A25" s="73"/>
      <c r="B25" s="74" t="s">
        <v>275</v>
      </c>
      <c r="C25" s="75">
        <f>C13</f>
        <v>0</v>
      </c>
      <c r="D25" s="75">
        <f>D21+D17+D13</f>
        <v>1800000</v>
      </c>
      <c r="E25" s="75"/>
      <c r="F25" s="75">
        <f t="shared" ref="F25:K25" si="20">F21+F17+F13</f>
        <v>0</v>
      </c>
      <c r="G25" s="75">
        <f t="shared" si="20"/>
        <v>1500000</v>
      </c>
      <c r="H25" s="75">
        <f t="shared" si="20"/>
        <v>150000</v>
      </c>
      <c r="I25" s="75">
        <f t="shared" si="20"/>
        <v>38250000</v>
      </c>
      <c r="J25" s="75">
        <f t="shared" si="20"/>
        <v>3825000</v>
      </c>
      <c r="K25" s="75">
        <f t="shared" si="20"/>
        <v>150000</v>
      </c>
      <c r="L25" s="238">
        <f t="shared" si="4"/>
        <v>150000</v>
      </c>
      <c r="M25" s="75">
        <f>M21</f>
        <v>0</v>
      </c>
      <c r="N25" s="75">
        <f>N21</f>
        <v>0</v>
      </c>
      <c r="O25" s="75">
        <f>O21+O17+O13</f>
        <v>1800000</v>
      </c>
      <c r="P25" s="75">
        <f>P21+P17+P13</f>
        <v>7650000</v>
      </c>
      <c r="Q25" s="75">
        <f>Q21+Q17+Q13</f>
        <v>1800000</v>
      </c>
      <c r="R25" s="75">
        <f>R21+R17+R13</f>
        <v>36000</v>
      </c>
      <c r="S25" s="75">
        <f>S21+S17+S13</f>
        <v>22500</v>
      </c>
    </row>
    <row r="26" spans="1:19" x14ac:dyDescent="0.2">
      <c r="A26" s="76"/>
      <c r="B26" s="76"/>
      <c r="C26" s="76"/>
      <c r="D26" s="77"/>
      <c r="E26" s="77"/>
      <c r="F26" s="77"/>
      <c r="G26" s="77"/>
      <c r="H26" s="77"/>
      <c r="I26" s="77"/>
      <c r="J26" s="77"/>
      <c r="K26" s="77"/>
      <c r="L26" s="77"/>
      <c r="M26" s="77"/>
    </row>
    <row r="27" spans="1:19" x14ac:dyDescent="0.2">
      <c r="A27" s="76"/>
      <c r="B27" s="76"/>
      <c r="C27" s="76"/>
      <c r="D27" s="77"/>
      <c r="E27" s="77"/>
      <c r="F27" s="77"/>
      <c r="G27" s="77"/>
      <c r="H27" s="77"/>
      <c r="I27" s="77"/>
      <c r="J27" s="77"/>
      <c r="K27" s="77"/>
      <c r="L27" s="77"/>
      <c r="M27" s="77"/>
    </row>
    <row r="28" spans="1:19" x14ac:dyDescent="0.2">
      <c r="A28" s="78" t="s">
        <v>96</v>
      </c>
      <c r="B28" s="79"/>
      <c r="D28" s="80"/>
      <c r="E28" s="80"/>
    </row>
    <row r="29" spans="1:19" x14ac:dyDescent="0.2">
      <c r="A29" s="78" t="s">
        <v>97</v>
      </c>
      <c r="B29" s="11"/>
    </row>
    <row r="30" spans="1:19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9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9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spans="1:13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1:13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</row>
    <row r="36" spans="1:13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</row>
    <row r="37" spans="1:13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</row>
    <row r="38" spans="1:13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spans="1:13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1:13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</row>
    <row r="41" spans="1:13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</row>
    <row r="42" spans="1:13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3" spans="1:13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</row>
    <row r="44" spans="1:13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1:13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</row>
    <row r="46" spans="1:13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</row>
    <row r="47" spans="1:13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</row>
    <row r="48" spans="1:13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spans="1:13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</row>
    <row r="50" spans="1:13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spans="1:13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</row>
    <row r="52" spans="1:13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</row>
    <row r="53" spans="1:13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</row>
    <row r="54" spans="1:13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</row>
    <row r="55" spans="1:13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</row>
    <row r="56" spans="1:13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</row>
    <row r="57" spans="1:13" x14ac:dyDescent="0.2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spans="1:13" x14ac:dyDescent="0.2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1:13" x14ac:dyDescent="0.2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</row>
    <row r="60" spans="1:13" x14ac:dyDescent="0.2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</row>
    <row r="61" spans="1:13" x14ac:dyDescent="0.2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</row>
    <row r="62" spans="1:13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</row>
    <row r="63" spans="1:13" x14ac:dyDescent="0.2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</row>
    <row r="64" spans="1:13" x14ac:dyDescent="0.2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</row>
    <row r="65" spans="1:13" x14ac:dyDescent="0.2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</row>
    <row r="66" spans="1:13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</row>
    <row r="67" spans="1:13" x14ac:dyDescent="0.2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spans="1:13" x14ac:dyDescent="0.2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</row>
    <row r="69" spans="1:13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</row>
    <row r="70" spans="1:13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</row>
    <row r="71" spans="1:13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</row>
    <row r="72" spans="1:13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</row>
    <row r="73" spans="1:13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</row>
    <row r="74" spans="1:13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</row>
    <row r="75" spans="1:13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</row>
    <row r="76" spans="1:13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3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spans="1:13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spans="1:13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1:13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</row>
    <row r="81" spans="1:13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</row>
  </sheetData>
  <mergeCells count="3">
    <mergeCell ref="F1:H1"/>
    <mergeCell ref="F2:H2"/>
    <mergeCell ref="F4:H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1"/>
  <sheetViews>
    <sheetView zoomScaleNormal="100" workbookViewId="0">
      <selection activeCell="Q3" sqref="Q3"/>
    </sheetView>
  </sheetViews>
  <sheetFormatPr defaultColWidth="9.28515625" defaultRowHeight="12.75" x14ac:dyDescent="0.2"/>
  <cols>
    <col min="1" max="1" width="3.5703125" style="99" customWidth="1"/>
    <col min="2" max="2" width="24.28515625" style="99" customWidth="1"/>
    <col min="3" max="3" width="14" style="99" customWidth="1"/>
    <col min="4" max="4" width="14.28515625" style="99" customWidth="1"/>
    <col min="5" max="5" width="13.28515625" style="99" customWidth="1"/>
    <col min="6" max="6" width="9.7109375" style="130" customWidth="1"/>
    <col min="7" max="8" width="12.5703125" style="99" customWidth="1"/>
    <col min="9" max="9" width="15" style="99" customWidth="1"/>
    <col min="10" max="10" width="12" style="99" customWidth="1"/>
    <col min="11" max="11" width="15" style="99" customWidth="1"/>
    <col min="12" max="12" width="14.140625" style="99" customWidth="1"/>
    <col min="13" max="13" width="14" style="99" customWidth="1"/>
    <col min="14" max="14" width="13.7109375" style="99" customWidth="1"/>
    <col min="15" max="15" width="15.42578125" style="99" customWidth="1"/>
    <col min="16" max="16" width="13.5703125" style="99" customWidth="1"/>
    <col min="17" max="17" width="13.7109375" style="99" customWidth="1"/>
    <col min="18" max="18" width="16.5703125" style="99" customWidth="1"/>
    <col min="19" max="19" width="14.7109375" style="99" customWidth="1"/>
    <col min="20" max="16384" width="9.28515625" style="99"/>
  </cols>
  <sheetData>
    <row r="1" spans="1:19" x14ac:dyDescent="0.2">
      <c r="B1" s="102"/>
      <c r="C1" s="102"/>
      <c r="D1" s="102"/>
      <c r="E1" s="102"/>
      <c r="F1" s="103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</row>
    <row r="2" spans="1:19" x14ac:dyDescent="0.2">
      <c r="A2" s="104"/>
      <c r="B2" s="105"/>
      <c r="C2" s="105"/>
      <c r="D2" s="102"/>
      <c r="E2" s="102"/>
      <c r="F2" s="103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</row>
    <row r="3" spans="1:19" ht="19.5" customHeight="1" x14ac:dyDescent="0.2">
      <c r="A3" s="106" t="s">
        <v>82</v>
      </c>
      <c r="B3" s="107" t="s">
        <v>98</v>
      </c>
      <c r="E3" s="257"/>
      <c r="F3" s="257"/>
      <c r="G3" s="108"/>
      <c r="H3" s="108"/>
      <c r="I3" s="109"/>
      <c r="J3" s="109"/>
      <c r="K3" s="109"/>
    </row>
    <row r="4" spans="1:19" x14ac:dyDescent="0.2">
      <c r="A4" s="106" t="s">
        <v>83</v>
      </c>
      <c r="B4" s="107" t="s">
        <v>99</v>
      </c>
      <c r="C4" s="99">
        <f>'200.00 '!E10</f>
        <v>12332112321</v>
      </c>
      <c r="E4" s="257"/>
      <c r="F4" s="257"/>
      <c r="G4" s="109"/>
      <c r="H4" s="109"/>
      <c r="I4" s="109"/>
      <c r="J4" s="109"/>
      <c r="K4" s="109"/>
    </row>
    <row r="5" spans="1:19" x14ac:dyDescent="0.2">
      <c r="A5" s="109"/>
      <c r="B5" s="102" t="s">
        <v>84</v>
      </c>
      <c r="E5" s="110"/>
      <c r="F5" s="103"/>
      <c r="G5" s="110"/>
      <c r="H5" s="110"/>
      <c r="I5" s="109"/>
      <c r="J5" s="109"/>
      <c r="K5" s="109"/>
    </row>
    <row r="6" spans="1:19" x14ac:dyDescent="0.2">
      <c r="A6" s="103" t="s">
        <v>85</v>
      </c>
      <c r="B6" s="109" t="s">
        <v>100</v>
      </c>
      <c r="E6" s="257"/>
      <c r="F6" s="257"/>
      <c r="G6" s="109"/>
      <c r="H6" s="109"/>
      <c r="I6" s="109"/>
      <c r="J6" s="109"/>
      <c r="K6" s="109"/>
    </row>
    <row r="7" spans="1:19" x14ac:dyDescent="0.2">
      <c r="A7" s="103" t="s">
        <v>86</v>
      </c>
      <c r="B7" s="109" t="s">
        <v>101</v>
      </c>
      <c r="C7" s="111">
        <f>'200.00 '!J12</f>
        <v>1</v>
      </c>
      <c r="E7" s="109" t="s">
        <v>103</v>
      </c>
      <c r="F7" s="110">
        <f>'200.00 '!M12</f>
        <v>2024</v>
      </c>
      <c r="G7" s="109"/>
      <c r="H7" s="109"/>
      <c r="I7" s="109"/>
      <c r="J7" s="109"/>
      <c r="K7" s="109"/>
    </row>
    <row r="8" spans="1:19" x14ac:dyDescent="0.2">
      <c r="A8" s="101" t="s">
        <v>283</v>
      </c>
      <c r="B8" s="109"/>
      <c r="E8" s="109"/>
      <c r="F8" s="103"/>
      <c r="G8" s="109"/>
      <c r="H8" s="109"/>
      <c r="I8" s="109"/>
      <c r="J8" s="109"/>
      <c r="K8" s="109"/>
    </row>
    <row r="9" spans="1:19" ht="15" customHeight="1" x14ac:dyDescent="0.2">
      <c r="A9" s="254" t="s">
        <v>107</v>
      </c>
      <c r="B9" s="255" t="s">
        <v>108</v>
      </c>
      <c r="C9" s="254" t="s">
        <v>109</v>
      </c>
      <c r="D9" s="256" t="s">
        <v>110</v>
      </c>
      <c r="E9" s="256" t="s">
        <v>183</v>
      </c>
      <c r="F9" s="256" t="s">
        <v>111</v>
      </c>
      <c r="G9" s="255" t="s">
        <v>112</v>
      </c>
      <c r="H9" s="256" t="s">
        <v>198</v>
      </c>
      <c r="I9" s="256" t="s">
        <v>113</v>
      </c>
      <c r="J9" s="256" t="s">
        <v>114</v>
      </c>
      <c r="K9" s="255" t="s">
        <v>115</v>
      </c>
      <c r="L9" s="255"/>
      <c r="M9" s="255"/>
      <c r="N9" s="255"/>
      <c r="O9" s="112"/>
      <c r="P9" s="255" t="s">
        <v>116</v>
      </c>
      <c r="Q9" s="255"/>
      <c r="R9" s="255"/>
      <c r="S9" s="255"/>
    </row>
    <row r="10" spans="1:19" ht="78.75" customHeight="1" x14ac:dyDescent="0.2">
      <c r="A10" s="254"/>
      <c r="B10" s="255"/>
      <c r="C10" s="254"/>
      <c r="D10" s="256"/>
      <c r="E10" s="256"/>
      <c r="F10" s="256"/>
      <c r="G10" s="255"/>
      <c r="H10" s="256"/>
      <c r="I10" s="256"/>
      <c r="J10" s="256"/>
      <c r="K10" s="113" t="s">
        <v>117</v>
      </c>
      <c r="L10" s="113" t="s">
        <v>118</v>
      </c>
      <c r="M10" s="113" t="s">
        <v>63</v>
      </c>
      <c r="N10" s="113" t="s">
        <v>119</v>
      </c>
      <c r="O10" s="113" t="s">
        <v>105</v>
      </c>
      <c r="P10" s="113" t="s">
        <v>120</v>
      </c>
      <c r="Q10" s="113" t="s">
        <v>121</v>
      </c>
      <c r="R10" s="113" t="s">
        <v>122</v>
      </c>
      <c r="S10" s="113" t="s">
        <v>123</v>
      </c>
    </row>
    <row r="11" spans="1:19" x14ac:dyDescent="0.2">
      <c r="A11" s="114">
        <v>1</v>
      </c>
      <c r="B11" s="114">
        <v>2</v>
      </c>
      <c r="C11" s="114">
        <v>3</v>
      </c>
      <c r="D11" s="114">
        <v>4</v>
      </c>
      <c r="E11" s="114">
        <v>5</v>
      </c>
      <c r="F11" s="115">
        <v>6</v>
      </c>
      <c r="G11" s="114">
        <v>7</v>
      </c>
      <c r="H11" s="114"/>
      <c r="I11" s="114">
        <v>8</v>
      </c>
      <c r="J11" s="114">
        <v>9</v>
      </c>
      <c r="K11" s="114">
        <v>10</v>
      </c>
      <c r="L11" s="114">
        <v>11</v>
      </c>
      <c r="M11" s="114">
        <v>12</v>
      </c>
      <c r="N11" s="114">
        <v>13</v>
      </c>
      <c r="O11" s="114">
        <v>14</v>
      </c>
      <c r="P11" s="114">
        <v>15</v>
      </c>
      <c r="Q11" s="114">
        <v>16</v>
      </c>
      <c r="R11" s="114">
        <v>17</v>
      </c>
      <c r="S11" s="114">
        <v>18</v>
      </c>
    </row>
    <row r="12" spans="1:19" hidden="1" x14ac:dyDescent="0.2">
      <c r="A12" s="114"/>
      <c r="B12" s="114" t="s">
        <v>166</v>
      </c>
      <c r="C12" s="114"/>
      <c r="D12" s="114"/>
      <c r="E12" s="114"/>
      <c r="F12" s="115"/>
      <c r="G12" s="116"/>
      <c r="H12" s="116"/>
      <c r="I12" s="114"/>
      <c r="J12" s="118">
        <v>0.1</v>
      </c>
      <c r="K12" s="117"/>
      <c r="L12" s="114"/>
      <c r="M12" s="116"/>
      <c r="N12" s="114"/>
      <c r="O12" s="114"/>
      <c r="P12" s="117"/>
      <c r="Q12" s="114"/>
      <c r="R12" s="114"/>
      <c r="S12" s="114"/>
    </row>
    <row r="13" spans="1:19" x14ac:dyDescent="0.2">
      <c r="A13" s="119"/>
      <c r="B13" s="67" t="s">
        <v>269</v>
      </c>
      <c r="C13" s="81"/>
      <c r="D13" s="232">
        <f t="shared" ref="D13:N13" si="0">SUM(D14:D16)</f>
        <v>600000</v>
      </c>
      <c r="E13" s="232">
        <f t="shared" si="0"/>
        <v>0</v>
      </c>
      <c r="F13" s="232">
        <f t="shared" si="0"/>
        <v>155064</v>
      </c>
      <c r="G13" s="232">
        <f t="shared" si="0"/>
        <v>50000</v>
      </c>
      <c r="H13" s="232">
        <f t="shared" si="0"/>
        <v>12000</v>
      </c>
      <c r="I13" s="232">
        <f t="shared" si="0"/>
        <v>382936</v>
      </c>
      <c r="J13" s="232">
        <f t="shared" si="0"/>
        <v>38293.599999999999</v>
      </c>
      <c r="K13" s="232">
        <f t="shared" si="0"/>
        <v>0</v>
      </c>
      <c r="L13" s="232">
        <f t="shared" si="0"/>
        <v>499706.39999999997</v>
      </c>
      <c r="M13" s="232">
        <f t="shared" si="0"/>
        <v>499706.39999999997</v>
      </c>
      <c r="N13" s="232">
        <f t="shared" si="0"/>
        <v>0</v>
      </c>
      <c r="O13" s="232"/>
      <c r="P13" s="232">
        <f>SUM(P14:P16)</f>
        <v>0</v>
      </c>
      <c r="Q13" s="232">
        <f>SUM(Q14:Q16)</f>
        <v>38293.599999999999</v>
      </c>
      <c r="R13" s="232">
        <f>SUM(R14:R16)</f>
        <v>38293.599999999999</v>
      </c>
      <c r="S13" s="232">
        <f>SUM(S14:S16)</f>
        <v>0</v>
      </c>
    </row>
    <row r="14" spans="1:19" ht="14.65" customHeight="1" x14ac:dyDescent="0.2">
      <c r="A14" s="121">
        <v>1</v>
      </c>
      <c r="B14" s="70" t="s">
        <v>272</v>
      </c>
      <c r="C14" s="122"/>
      <c r="D14" s="197">
        <f>'Расчет ОПВ'!D14</f>
        <v>200000</v>
      </c>
      <c r="E14" s="233"/>
      <c r="F14" s="234">
        <v>51688</v>
      </c>
      <c r="G14" s="235">
        <f>'Расчет ОПВ'!K14</f>
        <v>20000</v>
      </c>
      <c r="H14" s="235">
        <f>'Расчет ОПВ'!R14</f>
        <v>4000</v>
      </c>
      <c r="I14" s="235">
        <f>IF((D14-E14-F14-G14-H14)&gt;0,(D14-E14-F14-G14-H14),0)</f>
        <v>124312</v>
      </c>
      <c r="J14" s="235">
        <f>IF(D14&lt;='Расчетные показатели'!B$9*25,I14*J$12/10,I14*J$12)</f>
        <v>12431.2</v>
      </c>
      <c r="K14" s="234">
        <v>0</v>
      </c>
      <c r="L14" s="235">
        <f>D14-G14-J14-H14</f>
        <v>163568.79999999999</v>
      </c>
      <c r="M14" s="234">
        <f>L14</f>
        <v>163568.79999999999</v>
      </c>
      <c r="N14" s="235">
        <f>K14+L14-M14</f>
        <v>0</v>
      </c>
      <c r="O14" s="235">
        <f>IF(D14=0,0,M14/(K14+L14))</f>
        <v>1</v>
      </c>
      <c r="P14" s="197"/>
      <c r="Q14" s="235">
        <f>J14</f>
        <v>12431.2</v>
      </c>
      <c r="R14" s="235">
        <f t="shared" ref="R14:R16" si="1">IF(N14&lt;=0,(P14+Q14),(P14+Q14)*O14)</f>
        <v>12431.2</v>
      </c>
      <c r="S14" s="235">
        <f>P14+Q14-R14</f>
        <v>0</v>
      </c>
    </row>
    <row r="15" spans="1:19" ht="14.65" customHeight="1" x14ac:dyDescent="0.2">
      <c r="A15" s="121">
        <v>2</v>
      </c>
      <c r="B15" s="70" t="s">
        <v>273</v>
      </c>
      <c r="C15" s="122"/>
      <c r="D15" s="197">
        <f>'Расчет ОПВ'!D15</f>
        <v>300000</v>
      </c>
      <c r="E15" s="233"/>
      <c r="F15" s="234">
        <v>51688</v>
      </c>
      <c r="G15" s="235">
        <f>'Расчет ОПВ'!K15</f>
        <v>30000</v>
      </c>
      <c r="H15" s="235">
        <f>'Расчет ОПВ'!R15</f>
        <v>6000</v>
      </c>
      <c r="I15" s="235">
        <f>IF((D15-E15-F15-G15-H15)&gt;0,(D15-E15-F15-G15-H15),0)</f>
        <v>212312</v>
      </c>
      <c r="J15" s="235">
        <f>IF(D15&lt;='Расчетные показатели'!B$9*25,I15*J$12/10,I15*J$12)</f>
        <v>21231.200000000001</v>
      </c>
      <c r="K15" s="234">
        <v>0</v>
      </c>
      <c r="L15" s="235">
        <f t="shared" ref="L15:L16" si="2">D15-G15-J15-H15</f>
        <v>242768.8</v>
      </c>
      <c r="M15" s="234">
        <f t="shared" ref="M15:M16" si="3">L15</f>
        <v>242768.8</v>
      </c>
      <c r="N15" s="235">
        <f t="shared" ref="N15:N16" si="4">K15+L15-M15</f>
        <v>0</v>
      </c>
      <c r="O15" s="235">
        <f>IF(D15=0,0,M15/(K15+L15))</f>
        <v>1</v>
      </c>
      <c r="P15" s="100"/>
      <c r="Q15" s="235">
        <f>J15</f>
        <v>21231.200000000001</v>
      </c>
      <c r="R15" s="235">
        <f t="shared" si="1"/>
        <v>21231.200000000001</v>
      </c>
      <c r="S15" s="235">
        <f t="shared" ref="S15:S16" si="5">P15+Q15-R15</f>
        <v>0</v>
      </c>
    </row>
    <row r="16" spans="1:19" ht="14.65" customHeight="1" x14ac:dyDescent="0.2">
      <c r="A16" s="121">
        <v>3</v>
      </c>
      <c r="B16" s="70" t="s">
        <v>274</v>
      </c>
      <c r="C16" s="122"/>
      <c r="D16" s="197">
        <f>'Расчет ОПВ'!D16</f>
        <v>100000</v>
      </c>
      <c r="E16" s="236"/>
      <c r="F16" s="234">
        <v>51688</v>
      </c>
      <c r="G16" s="235">
        <f>'Расчет ОПВ'!K16</f>
        <v>0</v>
      </c>
      <c r="H16" s="235">
        <f>'Расчет ОПВ'!R16</f>
        <v>2000</v>
      </c>
      <c r="I16" s="235">
        <f t="shared" ref="I16" si="6">IF((D16-E16-F16-G16-H16)&gt;0,(D16-E16-F16-G16-H16),0)</f>
        <v>46312</v>
      </c>
      <c r="J16" s="235">
        <f>IF(D16&lt;='Расчетные показатели'!B$9*25,I16*J$12/10,I16*J$12)</f>
        <v>4631.2</v>
      </c>
      <c r="K16" s="234"/>
      <c r="L16" s="235">
        <f t="shared" si="2"/>
        <v>93368.8</v>
      </c>
      <c r="M16" s="234">
        <f t="shared" si="3"/>
        <v>93368.8</v>
      </c>
      <c r="N16" s="235">
        <f t="shared" si="4"/>
        <v>0</v>
      </c>
      <c r="O16" s="235">
        <f t="shared" ref="O16" si="7">IF(D16=0,0,M16/(K16+L16))</f>
        <v>1</v>
      </c>
      <c r="P16" s="100"/>
      <c r="Q16" s="235">
        <f t="shared" ref="Q16" si="8">J16</f>
        <v>4631.2</v>
      </c>
      <c r="R16" s="235">
        <f t="shared" si="1"/>
        <v>4631.2</v>
      </c>
      <c r="S16" s="235">
        <f t="shared" si="5"/>
        <v>0</v>
      </c>
    </row>
    <row r="17" spans="1:19" x14ac:dyDescent="0.2">
      <c r="A17" s="119"/>
      <c r="B17" s="67" t="s">
        <v>270</v>
      </c>
      <c r="C17" s="81"/>
      <c r="D17" s="232">
        <f t="shared" ref="D17:N17" si="9">SUM(D18:D20)</f>
        <v>600000</v>
      </c>
      <c r="E17" s="232">
        <f t="shared" si="9"/>
        <v>0</v>
      </c>
      <c r="F17" s="232">
        <f t="shared" si="9"/>
        <v>155064</v>
      </c>
      <c r="G17" s="232">
        <f t="shared" si="9"/>
        <v>50000</v>
      </c>
      <c r="H17" s="232">
        <f t="shared" si="9"/>
        <v>12000</v>
      </c>
      <c r="I17" s="232">
        <f t="shared" si="9"/>
        <v>382936</v>
      </c>
      <c r="J17" s="232">
        <f t="shared" si="9"/>
        <v>38293.599999999999</v>
      </c>
      <c r="K17" s="232">
        <f t="shared" si="9"/>
        <v>0</v>
      </c>
      <c r="L17" s="232">
        <f t="shared" si="9"/>
        <v>499706.39999999997</v>
      </c>
      <c r="M17" s="232">
        <f t="shared" si="9"/>
        <v>499706.39999999997</v>
      </c>
      <c r="N17" s="232">
        <f t="shared" si="9"/>
        <v>0</v>
      </c>
      <c r="O17" s="232"/>
      <c r="P17" s="232">
        <f>SUM(P18:P20)</f>
        <v>0</v>
      </c>
      <c r="Q17" s="232">
        <f>SUM(Q18:Q20)</f>
        <v>38293.599999999999</v>
      </c>
      <c r="R17" s="232">
        <f>SUM(R18:R20)</f>
        <v>38293.599999999999</v>
      </c>
      <c r="S17" s="232">
        <f>SUM(S18:S20)</f>
        <v>0</v>
      </c>
    </row>
    <row r="18" spans="1:19" x14ac:dyDescent="0.2">
      <c r="A18" s="121">
        <v>1</v>
      </c>
      <c r="B18" s="70" t="s">
        <v>272</v>
      </c>
      <c r="C18" s="122"/>
      <c r="D18" s="197">
        <f>'Расчет ОПВ'!D18</f>
        <v>200000</v>
      </c>
      <c r="E18" s="233"/>
      <c r="F18" s="234">
        <v>51688</v>
      </c>
      <c r="G18" s="235">
        <f>'Расчет ОПВ'!K18</f>
        <v>20000</v>
      </c>
      <c r="H18" s="235">
        <f>'Расчет ОПВ'!R18</f>
        <v>4000</v>
      </c>
      <c r="I18" s="235">
        <f>IF((D18-E18-F18-G18-H18)&gt;0,(D18-E18-F18-G18-H18),0)</f>
        <v>124312</v>
      </c>
      <c r="J18" s="235">
        <f>IF(D18&lt;='Расчетные показатели'!B$9*25,I18*J$12/10,I18*J$12)</f>
        <v>12431.2</v>
      </c>
      <c r="K18" s="234">
        <f>N14</f>
        <v>0</v>
      </c>
      <c r="L18" s="235">
        <f>D18-G18-J18-H18</f>
        <v>163568.79999999999</v>
      </c>
      <c r="M18" s="234">
        <f>L18</f>
        <v>163568.79999999999</v>
      </c>
      <c r="N18" s="235">
        <f>K18+L18-M18</f>
        <v>0</v>
      </c>
      <c r="O18" s="235">
        <f>IF(D18=0,0,M18/(K18+L18))</f>
        <v>1</v>
      </c>
      <c r="P18" s="195">
        <f>S14</f>
        <v>0</v>
      </c>
      <c r="Q18" s="235">
        <f>J18</f>
        <v>12431.2</v>
      </c>
      <c r="R18" s="235">
        <f t="shared" ref="R18:R20" si="10">IF(N18&lt;=0,(P18+Q18),(P18+Q18)*O18)</f>
        <v>12431.2</v>
      </c>
      <c r="S18" s="235">
        <f>P18+Q18-R18</f>
        <v>0</v>
      </c>
    </row>
    <row r="19" spans="1:19" x14ac:dyDescent="0.2">
      <c r="A19" s="121">
        <v>2</v>
      </c>
      <c r="B19" s="70" t="s">
        <v>273</v>
      </c>
      <c r="C19" s="122"/>
      <c r="D19" s="197">
        <f>'Расчет ОПВ'!D19</f>
        <v>300000</v>
      </c>
      <c r="E19" s="233"/>
      <c r="F19" s="234">
        <v>51688</v>
      </c>
      <c r="G19" s="235">
        <f>'Расчет ОПВ'!K19</f>
        <v>30000</v>
      </c>
      <c r="H19" s="235">
        <f>'Расчет ОПВ'!R19</f>
        <v>6000</v>
      </c>
      <c r="I19" s="235">
        <f>IF((D19-E19-F19-G19-H19)&gt;0,(D19-E19-F19-G19-H19),0)</f>
        <v>212312</v>
      </c>
      <c r="J19" s="235">
        <f>IF(D19&lt;='Расчетные показатели'!B$9*25,I19*J$12/10,I19*J$12)</f>
        <v>21231.200000000001</v>
      </c>
      <c r="K19" s="234">
        <f>N15</f>
        <v>0</v>
      </c>
      <c r="L19" s="235">
        <f t="shared" ref="L19:L20" si="11">D19-G19-J19-H19</f>
        <v>242768.8</v>
      </c>
      <c r="M19" s="234">
        <f t="shared" ref="M19:M20" si="12">L19</f>
        <v>242768.8</v>
      </c>
      <c r="N19" s="235">
        <f t="shared" ref="N19" si="13">K19+L19-M19</f>
        <v>0</v>
      </c>
      <c r="O19" s="235">
        <f t="shared" ref="O19:O20" si="14">IF(D19=0,0,M19/(K19+L19))</f>
        <v>1</v>
      </c>
      <c r="P19" s="195">
        <f>S15</f>
        <v>0</v>
      </c>
      <c r="Q19" s="235">
        <f>J19</f>
        <v>21231.200000000001</v>
      </c>
      <c r="R19" s="235">
        <f t="shared" si="10"/>
        <v>21231.200000000001</v>
      </c>
      <c r="S19" s="235">
        <f t="shared" ref="S19:S20" si="15">P19+Q19-R19</f>
        <v>0</v>
      </c>
    </row>
    <row r="20" spans="1:19" x14ac:dyDescent="0.2">
      <c r="A20" s="121">
        <v>3</v>
      </c>
      <c r="B20" s="70" t="s">
        <v>274</v>
      </c>
      <c r="C20" s="122"/>
      <c r="D20" s="197">
        <f>'Расчет ОПВ'!D20</f>
        <v>100000</v>
      </c>
      <c r="E20" s="236"/>
      <c r="F20" s="234">
        <v>51688</v>
      </c>
      <c r="G20" s="235">
        <f>'Расчет ОПВ'!K20</f>
        <v>0</v>
      </c>
      <c r="H20" s="235">
        <f>'Расчет ОПВ'!R20</f>
        <v>2000</v>
      </c>
      <c r="I20" s="235">
        <f t="shared" ref="I20" si="16">IF((D20-E20-F20-G20-H20)&gt;0,(D20-E20-F20-G20-H20),0)</f>
        <v>46312</v>
      </c>
      <c r="J20" s="235">
        <f>IF(D20&lt;='Расчетные показатели'!B$9*25,I20*J$12/10,I20*J$12)</f>
        <v>4631.2</v>
      </c>
      <c r="K20" s="234">
        <f>N16</f>
        <v>0</v>
      </c>
      <c r="L20" s="235">
        <f t="shared" si="11"/>
        <v>93368.8</v>
      </c>
      <c r="M20" s="234">
        <f t="shared" si="12"/>
        <v>93368.8</v>
      </c>
      <c r="N20" s="235">
        <f>K20+L20-M20</f>
        <v>0</v>
      </c>
      <c r="O20" s="235">
        <f t="shared" si="14"/>
        <v>1</v>
      </c>
      <c r="P20" s="195">
        <f>S16</f>
        <v>0</v>
      </c>
      <c r="Q20" s="235">
        <f t="shared" ref="Q20" si="17">J20</f>
        <v>4631.2</v>
      </c>
      <c r="R20" s="235">
        <f t="shared" si="10"/>
        <v>4631.2</v>
      </c>
      <c r="S20" s="235">
        <f t="shared" si="15"/>
        <v>0</v>
      </c>
    </row>
    <row r="21" spans="1:19" x14ac:dyDescent="0.2">
      <c r="A21" s="119"/>
      <c r="B21" s="67" t="s">
        <v>271</v>
      </c>
      <c r="C21" s="81"/>
      <c r="D21" s="232">
        <f t="shared" ref="D21:N21" si="18">SUM(D22:D24)</f>
        <v>600000</v>
      </c>
      <c r="E21" s="232">
        <f t="shared" si="18"/>
        <v>0</v>
      </c>
      <c r="F21" s="232">
        <f t="shared" si="18"/>
        <v>155064</v>
      </c>
      <c r="G21" s="232">
        <f t="shared" si="18"/>
        <v>50000</v>
      </c>
      <c r="H21" s="232">
        <f t="shared" si="18"/>
        <v>12000</v>
      </c>
      <c r="I21" s="232">
        <f t="shared" si="18"/>
        <v>382936</v>
      </c>
      <c r="J21" s="232">
        <f t="shared" si="18"/>
        <v>38293.599999999999</v>
      </c>
      <c r="K21" s="232">
        <f t="shared" si="18"/>
        <v>0</v>
      </c>
      <c r="L21" s="232">
        <f t="shared" si="18"/>
        <v>499706.39999999997</v>
      </c>
      <c r="M21" s="232">
        <f t="shared" si="18"/>
        <v>499706.39999999997</v>
      </c>
      <c r="N21" s="232">
        <f t="shared" si="18"/>
        <v>0</v>
      </c>
      <c r="O21" s="232"/>
      <c r="P21" s="232">
        <f>SUM(P22:P24)</f>
        <v>0</v>
      </c>
      <c r="Q21" s="232">
        <f>SUM(Q22:Q24)</f>
        <v>38293.599999999999</v>
      </c>
      <c r="R21" s="232">
        <f>SUM(R22:R24)</f>
        <v>38293.599999999999</v>
      </c>
      <c r="S21" s="232">
        <f>SUM(S22:S24)</f>
        <v>0</v>
      </c>
    </row>
    <row r="22" spans="1:19" x14ac:dyDescent="0.2">
      <c r="A22" s="121">
        <v>1</v>
      </c>
      <c r="B22" s="70" t="s">
        <v>272</v>
      </c>
      <c r="C22" s="122"/>
      <c r="D22" s="197">
        <f>'Расчет ОПВ'!D22</f>
        <v>200000</v>
      </c>
      <c r="E22" s="233"/>
      <c r="F22" s="234">
        <v>51688</v>
      </c>
      <c r="G22" s="235">
        <f>'Расчет ОПВ'!K22</f>
        <v>20000</v>
      </c>
      <c r="H22" s="235">
        <f>'Расчет ОПВ'!R22</f>
        <v>4000</v>
      </c>
      <c r="I22" s="235">
        <f>IF((D22-E22-F22-G22-H22)&gt;0,(D22-E22-F22-G22-H22),0)</f>
        <v>124312</v>
      </c>
      <c r="J22" s="235">
        <f>IF(D22&lt;='Расчетные показатели'!B$9*25,I22*J$12/10,I22*J$12)</f>
        <v>12431.2</v>
      </c>
      <c r="K22" s="234">
        <f>N18</f>
        <v>0</v>
      </c>
      <c r="L22" s="235">
        <f>D22-G22-J22-H22</f>
        <v>163568.79999999999</v>
      </c>
      <c r="M22" s="234">
        <f>L22</f>
        <v>163568.79999999999</v>
      </c>
      <c r="N22" s="235">
        <f>K22+L22-M22</f>
        <v>0</v>
      </c>
      <c r="O22" s="235">
        <f t="shared" ref="O22:O24" si="19">IF(D22=0,0,M22/(K22+L22))</f>
        <v>1</v>
      </c>
      <c r="P22" s="195">
        <f>S18</f>
        <v>0</v>
      </c>
      <c r="Q22" s="235">
        <f>J22</f>
        <v>12431.2</v>
      </c>
      <c r="R22" s="235">
        <f t="shared" ref="R22:R24" si="20">IF(N22&lt;=0,(P22+Q22),(P22+Q22)*O22)</f>
        <v>12431.2</v>
      </c>
      <c r="S22" s="235">
        <f>P22+Q22-R22</f>
        <v>0</v>
      </c>
    </row>
    <row r="23" spans="1:19" x14ac:dyDescent="0.2">
      <c r="A23" s="121">
        <v>2</v>
      </c>
      <c r="B23" s="70" t="s">
        <v>273</v>
      </c>
      <c r="C23" s="122"/>
      <c r="D23" s="197">
        <f>'Расчет ОПВ'!D23</f>
        <v>300000</v>
      </c>
      <c r="E23" s="233"/>
      <c r="F23" s="234">
        <v>51688</v>
      </c>
      <c r="G23" s="235">
        <f>'Расчет ОПВ'!K23</f>
        <v>30000</v>
      </c>
      <c r="H23" s="235">
        <f>'Расчет ОПВ'!R23</f>
        <v>6000</v>
      </c>
      <c r="I23" s="235">
        <f>IF((D23-E23-F23-G23-H23)&gt;0,(D23-E23-F23-G23-H23),0)</f>
        <v>212312</v>
      </c>
      <c r="J23" s="235">
        <f>IF(D23&lt;='Расчетные показатели'!B$9*25,I23*J$12/10,I23*J$12)</f>
        <v>21231.200000000001</v>
      </c>
      <c r="K23" s="234">
        <f>N19</f>
        <v>0</v>
      </c>
      <c r="L23" s="235">
        <f t="shared" ref="L23:L24" si="21">D23-G23-J23-H23</f>
        <v>242768.8</v>
      </c>
      <c r="M23" s="234">
        <f t="shared" ref="M23:M24" si="22">L23</f>
        <v>242768.8</v>
      </c>
      <c r="N23" s="235">
        <f t="shared" ref="N23:N24" si="23">K23+L23-M23</f>
        <v>0</v>
      </c>
      <c r="O23" s="235">
        <f t="shared" si="19"/>
        <v>1</v>
      </c>
      <c r="P23" s="195">
        <f>S19</f>
        <v>0</v>
      </c>
      <c r="Q23" s="235">
        <f t="shared" ref="Q23:Q24" si="24">J23</f>
        <v>21231.200000000001</v>
      </c>
      <c r="R23" s="235">
        <f t="shared" si="20"/>
        <v>21231.200000000001</v>
      </c>
      <c r="S23" s="235">
        <f t="shared" ref="S23:S24" si="25">P23+Q23-R23</f>
        <v>0</v>
      </c>
    </row>
    <row r="24" spans="1:19" x14ac:dyDescent="0.2">
      <c r="A24" s="121">
        <v>3</v>
      </c>
      <c r="B24" s="70" t="s">
        <v>274</v>
      </c>
      <c r="C24" s="122"/>
      <c r="D24" s="197">
        <f>'Расчет ОПВ'!D24</f>
        <v>100000</v>
      </c>
      <c r="E24" s="236"/>
      <c r="F24" s="234">
        <v>51688</v>
      </c>
      <c r="G24" s="235">
        <f>'Расчет ОПВ'!K24</f>
        <v>0</v>
      </c>
      <c r="H24" s="235">
        <f>'Расчет ОПВ'!R24</f>
        <v>2000</v>
      </c>
      <c r="I24" s="235">
        <f t="shared" ref="I24" si="26">IF((D24-E24-F24-G24-H24)&gt;0,(D24-E24-F24-G24-H24),0)</f>
        <v>46312</v>
      </c>
      <c r="J24" s="235">
        <f>IF(D24&lt;='Расчетные показатели'!B$9*25,I24*J$12/10,I24*J$12)</f>
        <v>4631.2</v>
      </c>
      <c r="K24" s="234">
        <f>N20</f>
        <v>0</v>
      </c>
      <c r="L24" s="235">
        <f t="shared" si="21"/>
        <v>93368.8</v>
      </c>
      <c r="M24" s="234">
        <f t="shared" si="22"/>
        <v>93368.8</v>
      </c>
      <c r="N24" s="235">
        <f t="shared" si="23"/>
        <v>0</v>
      </c>
      <c r="O24" s="235">
        <f t="shared" si="19"/>
        <v>1</v>
      </c>
      <c r="P24" s="195">
        <f>S20</f>
        <v>0</v>
      </c>
      <c r="Q24" s="235">
        <f t="shared" si="24"/>
        <v>4631.2</v>
      </c>
      <c r="R24" s="235">
        <f t="shared" si="20"/>
        <v>4631.2</v>
      </c>
      <c r="S24" s="235">
        <f t="shared" si="25"/>
        <v>0</v>
      </c>
    </row>
    <row r="25" spans="1:19" ht="13.5" thickBot="1" x14ac:dyDescent="0.25">
      <c r="A25" s="123"/>
      <c r="B25" s="124" t="s">
        <v>275</v>
      </c>
      <c r="C25" s="124"/>
      <c r="D25" s="125">
        <f t="shared" ref="D25:J25" si="27">D21+D17+D13</f>
        <v>1800000</v>
      </c>
      <c r="E25" s="125">
        <f t="shared" si="27"/>
        <v>0</v>
      </c>
      <c r="F25" s="125">
        <f t="shared" si="27"/>
        <v>465192</v>
      </c>
      <c r="G25" s="125">
        <f t="shared" si="27"/>
        <v>150000</v>
      </c>
      <c r="H25" s="125">
        <f t="shared" si="27"/>
        <v>36000</v>
      </c>
      <c r="I25" s="125">
        <f t="shared" si="27"/>
        <v>1148808</v>
      </c>
      <c r="J25" s="125">
        <f t="shared" si="27"/>
        <v>114880.79999999999</v>
      </c>
      <c r="K25" s="125">
        <f>K13</f>
        <v>0</v>
      </c>
      <c r="L25" s="125">
        <f>L21+L17+L13</f>
        <v>1499119.2</v>
      </c>
      <c r="M25" s="125">
        <f>M21+M17+M13</f>
        <v>1499119.2</v>
      </c>
      <c r="N25" s="125">
        <f>N21</f>
        <v>0</v>
      </c>
      <c r="O25" s="125">
        <f>O21+O17+O13</f>
        <v>0</v>
      </c>
      <c r="P25" s="125">
        <f>P13</f>
        <v>0</v>
      </c>
      <c r="Q25" s="125">
        <f>Q21+Q17+Q13</f>
        <v>114880.79999999999</v>
      </c>
      <c r="R25" s="125">
        <f>R21+R17+R13</f>
        <v>114880.79999999999</v>
      </c>
      <c r="S25" s="125">
        <f>S21</f>
        <v>0</v>
      </c>
    </row>
    <row r="28" spans="1:19" x14ac:dyDescent="0.2">
      <c r="A28" s="126" t="s">
        <v>96</v>
      </c>
      <c r="B28" s="127"/>
      <c r="C28" s="128"/>
      <c r="E28" s="129"/>
    </row>
    <row r="29" spans="1:19" x14ac:dyDescent="0.2">
      <c r="A29" s="126" t="s">
        <v>97</v>
      </c>
      <c r="B29" s="109"/>
      <c r="C29" s="128"/>
    </row>
    <row r="30" spans="1:19" x14ac:dyDescent="0.2">
      <c r="A30" s="126" t="s">
        <v>96</v>
      </c>
      <c r="B30" s="127"/>
      <c r="C30" s="128"/>
    </row>
    <row r="31" spans="1:19" x14ac:dyDescent="0.2">
      <c r="E31" s="109"/>
      <c r="F31" s="103"/>
      <c r="G31" s="109"/>
      <c r="H31" s="109"/>
      <c r="I31" s="109"/>
      <c r="J31" s="109"/>
      <c r="K31" s="109"/>
      <c r="L31" s="109"/>
      <c r="M31" s="109"/>
      <c r="N31" s="109"/>
      <c r="O31" s="109"/>
    </row>
  </sheetData>
  <mergeCells count="15">
    <mergeCell ref="E3:F3"/>
    <mergeCell ref="E4:F4"/>
    <mergeCell ref="E6:F6"/>
    <mergeCell ref="K9:N9"/>
    <mergeCell ref="P9:S9"/>
    <mergeCell ref="F9:F10"/>
    <mergeCell ref="G9:G10"/>
    <mergeCell ref="I9:I10"/>
    <mergeCell ref="J9:J10"/>
    <mergeCell ref="H9:H10"/>
    <mergeCell ref="A9:A10"/>
    <mergeCell ref="B9:B10"/>
    <mergeCell ref="C9:C10"/>
    <mergeCell ref="D9:D10"/>
    <mergeCell ref="E9:E10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Normal="100" workbookViewId="0">
      <selection activeCell="P10" sqref="P10"/>
    </sheetView>
  </sheetViews>
  <sheetFormatPr defaultColWidth="8.85546875" defaultRowHeight="12.75" x14ac:dyDescent="0.2"/>
  <cols>
    <col min="1" max="1" width="3.5703125" style="99" customWidth="1"/>
    <col min="2" max="2" width="23.5703125" style="99" customWidth="1"/>
    <col min="3" max="3" width="15" style="99" customWidth="1"/>
    <col min="4" max="4" width="13.7109375" style="99" customWidth="1"/>
    <col min="5" max="5" width="14.42578125" style="99" customWidth="1"/>
    <col min="6" max="6" width="14.28515625" style="99" customWidth="1"/>
    <col min="7" max="7" width="17.42578125" style="99" customWidth="1"/>
    <col min="8" max="8" width="12.28515625" style="99" customWidth="1"/>
    <col min="9" max="10" width="15.42578125" style="99" customWidth="1"/>
    <col min="11" max="11" width="14.7109375" style="99" customWidth="1"/>
    <col min="12" max="12" width="11.28515625" style="99" customWidth="1"/>
    <col min="13" max="13" width="10.28515625" style="99" bestFit="1" customWidth="1"/>
    <col min="14" max="16384" width="8.85546875" style="99"/>
  </cols>
  <sheetData>
    <row r="1" spans="1:13" ht="19.5" customHeight="1" x14ac:dyDescent="0.2">
      <c r="A1" s="106" t="s">
        <v>82</v>
      </c>
      <c r="B1" s="107" t="s">
        <v>98</v>
      </c>
      <c r="F1" s="257"/>
      <c r="G1" s="257"/>
      <c r="H1" s="257"/>
      <c r="I1" s="108"/>
      <c r="J1" s="108"/>
    </row>
    <row r="2" spans="1:13" x14ac:dyDescent="0.2">
      <c r="A2" s="106" t="s">
        <v>83</v>
      </c>
      <c r="B2" s="107" t="s">
        <v>99</v>
      </c>
      <c r="C2" s="99">
        <f>'200.00 '!E10</f>
        <v>12332112321</v>
      </c>
      <c r="F2" s="257"/>
      <c r="G2" s="257"/>
      <c r="H2" s="257"/>
      <c r="I2" s="109"/>
      <c r="J2" s="109"/>
    </row>
    <row r="3" spans="1:13" x14ac:dyDescent="0.2">
      <c r="A3" s="109"/>
      <c r="B3" s="102" t="s">
        <v>84</v>
      </c>
      <c r="F3" s="110"/>
      <c r="G3" s="110"/>
      <c r="H3" s="110"/>
      <c r="I3" s="110"/>
      <c r="J3" s="110"/>
    </row>
    <row r="4" spans="1:13" x14ac:dyDescent="0.2">
      <c r="A4" s="103" t="s">
        <v>85</v>
      </c>
      <c r="B4" s="109" t="s">
        <v>100</v>
      </c>
      <c r="D4" s="99" t="str">
        <f>'200.00 '!J14</f>
        <v>ИП Базаев АА</v>
      </c>
      <c r="F4" s="257"/>
      <c r="G4" s="257"/>
      <c r="H4" s="257"/>
      <c r="I4" s="109"/>
      <c r="J4" s="109"/>
    </row>
    <row r="5" spans="1:13" x14ac:dyDescent="0.2">
      <c r="A5" s="103" t="s">
        <v>86</v>
      </c>
      <c r="B5" s="109" t="s">
        <v>101</v>
      </c>
      <c r="F5" s="109" t="s">
        <v>102</v>
      </c>
      <c r="G5" s="110">
        <f>'200.00 '!J12</f>
        <v>1</v>
      </c>
      <c r="H5" s="109" t="s">
        <v>103</v>
      </c>
      <c r="I5" s="110">
        <f>'200.00 '!M12</f>
        <v>2024</v>
      </c>
      <c r="J5" s="109"/>
    </row>
    <row r="6" spans="1:13" ht="7.5" customHeight="1" x14ac:dyDescent="0.2">
      <c r="A6" s="103"/>
      <c r="B6" s="109"/>
      <c r="C6" s="109"/>
      <c r="D6" s="109"/>
      <c r="E6" s="109"/>
      <c r="F6" s="109"/>
      <c r="G6" s="109"/>
      <c r="H6" s="109"/>
      <c r="I6" s="109"/>
      <c r="J6" s="109"/>
    </row>
    <row r="7" spans="1:13" ht="6.75" customHeight="1" x14ac:dyDescent="0.2"/>
    <row r="8" spans="1:13" ht="16.5" customHeight="1" x14ac:dyDescent="0.2">
      <c r="A8" s="109"/>
      <c r="B8" s="131" t="s">
        <v>282</v>
      </c>
      <c r="C8" s="109"/>
      <c r="D8" s="109"/>
      <c r="E8" s="109"/>
      <c r="F8" s="109"/>
      <c r="G8" s="109"/>
      <c r="H8" s="109"/>
    </row>
    <row r="9" spans="1:13" ht="12" customHeight="1" thickBot="1" x14ac:dyDescent="0.25">
      <c r="A9" s="109"/>
      <c r="B9" s="127"/>
      <c r="C9" s="103"/>
      <c r="D9" s="109"/>
      <c r="E9" s="109"/>
      <c r="F9" s="109"/>
      <c r="G9" s="103"/>
      <c r="H9" s="103"/>
      <c r="I9" s="103" t="s">
        <v>87</v>
      </c>
      <c r="J9" s="103"/>
    </row>
    <row r="10" spans="1:13" s="136" customFormat="1" ht="117.75" customHeight="1" thickBot="1" x14ac:dyDescent="0.3">
      <c r="A10" s="132" t="s">
        <v>88</v>
      </c>
      <c r="B10" s="133" t="s">
        <v>89</v>
      </c>
      <c r="C10" s="133" t="s">
        <v>91</v>
      </c>
      <c r="D10" s="133" t="s">
        <v>131</v>
      </c>
      <c r="E10" s="133" t="s">
        <v>112</v>
      </c>
      <c r="F10" s="133" t="s">
        <v>127</v>
      </c>
      <c r="G10" s="133" t="s">
        <v>132</v>
      </c>
      <c r="H10" s="134" t="s">
        <v>128</v>
      </c>
      <c r="I10" s="135" t="s">
        <v>129</v>
      </c>
      <c r="J10" s="133" t="s">
        <v>140</v>
      </c>
      <c r="K10" s="98" t="s">
        <v>139</v>
      </c>
      <c r="L10" s="98" t="s">
        <v>141</v>
      </c>
      <c r="M10" s="98" t="s">
        <v>136</v>
      </c>
    </row>
    <row r="11" spans="1:13" x14ac:dyDescent="0.2">
      <c r="A11" s="137">
        <v>1</v>
      </c>
      <c r="B11" s="138">
        <v>2</v>
      </c>
      <c r="C11" s="138">
        <v>4</v>
      </c>
      <c r="D11" s="138">
        <v>5</v>
      </c>
      <c r="E11" s="138"/>
      <c r="F11" s="138">
        <v>6</v>
      </c>
      <c r="G11" s="138">
        <v>7</v>
      </c>
      <c r="H11" s="139">
        <v>8</v>
      </c>
      <c r="I11" s="140">
        <v>9</v>
      </c>
      <c r="J11" s="140">
        <v>10</v>
      </c>
      <c r="K11" s="139">
        <v>11</v>
      </c>
      <c r="L11" s="139">
        <v>12</v>
      </c>
      <c r="M11" s="139">
        <v>13</v>
      </c>
    </row>
    <row r="12" spans="1:13" s="136" customFormat="1" hidden="1" x14ac:dyDescent="0.25">
      <c r="A12" s="144"/>
      <c r="B12" s="98" t="s">
        <v>167</v>
      </c>
      <c r="C12" s="142"/>
      <c r="D12" s="142"/>
      <c r="E12" s="142"/>
      <c r="F12" s="98"/>
      <c r="G12" s="98"/>
      <c r="H12" s="143"/>
      <c r="I12" s="145">
        <v>3.5000000000000003E-2</v>
      </c>
      <c r="J12" s="146"/>
      <c r="K12" s="143"/>
      <c r="L12" s="143"/>
      <c r="M12" s="147">
        <v>0.03</v>
      </c>
    </row>
    <row r="13" spans="1:13" s="136" customFormat="1" ht="20.25" customHeight="1" x14ac:dyDescent="0.25">
      <c r="A13" s="148"/>
      <c r="B13" s="67" t="s">
        <v>269</v>
      </c>
      <c r="C13" s="180">
        <f t="shared" ref="C13:M13" si="0">SUM(C14:C16)</f>
        <v>600000</v>
      </c>
      <c r="D13" s="180">
        <f t="shared" si="0"/>
        <v>0</v>
      </c>
      <c r="E13" s="180">
        <f t="shared" si="0"/>
        <v>50000</v>
      </c>
      <c r="F13" s="180">
        <f t="shared" si="0"/>
        <v>450000</v>
      </c>
      <c r="G13" s="180">
        <f t="shared" si="0"/>
        <v>1785000</v>
      </c>
      <c r="H13" s="180">
        <f t="shared" si="0"/>
        <v>450000</v>
      </c>
      <c r="I13" s="225">
        <f t="shared" si="0"/>
        <v>15750</v>
      </c>
      <c r="J13" s="225">
        <f t="shared" si="0"/>
        <v>0</v>
      </c>
      <c r="K13" s="180">
        <f t="shared" si="0"/>
        <v>500000</v>
      </c>
      <c r="L13" s="180">
        <f t="shared" si="0"/>
        <v>500000</v>
      </c>
      <c r="M13" s="180">
        <f t="shared" si="0"/>
        <v>15000</v>
      </c>
    </row>
    <row r="14" spans="1:13" ht="26.25" customHeight="1" x14ac:dyDescent="0.2">
      <c r="A14" s="149">
        <v>1</v>
      </c>
      <c r="B14" s="70" t="s">
        <v>272</v>
      </c>
      <c r="C14" s="226">
        <f>'Расчет ИПН'!D14</f>
        <v>200000</v>
      </c>
      <c r="D14" s="227"/>
      <c r="E14" s="228">
        <f>'Расчет ОПВ'!K14</f>
        <v>20000</v>
      </c>
      <c r="F14" s="229">
        <f>IF('Расчет ОПВ'!E14=1,0,C14-D14-E14)</f>
        <v>180000</v>
      </c>
      <c r="G14" s="229">
        <f>'Расчетные показатели'!B$2*7</f>
        <v>595000</v>
      </c>
      <c r="H14" s="229">
        <f>IF(F14=0,0,IF(F14&gt;'Расчетные показатели'!B$5,'Расчетные показатели'!B$5,IF(F14&gt;'Расчетные показатели'!B$2,F14,'Расчетные показатели'!B$2)))</f>
        <v>180000</v>
      </c>
      <c r="I14" s="230">
        <f>H14*I$12</f>
        <v>6300.0000000000009</v>
      </c>
      <c r="J14" s="227"/>
      <c r="K14" s="226">
        <f>IF('Расчет ОПВ'!E14=1,0,C14-J14)</f>
        <v>200000</v>
      </c>
      <c r="L14" s="226">
        <f>IF(K14=0,0,IF(K14&gt;'Расчетные показатели'!$B$7,'Расчетные показатели'!$B$7,K14))</f>
        <v>200000</v>
      </c>
      <c r="M14" s="226">
        <f>L14*M$12</f>
        <v>6000</v>
      </c>
    </row>
    <row r="15" spans="1:13" x14ac:dyDescent="0.2">
      <c r="A15" s="149">
        <v>2</v>
      </c>
      <c r="B15" s="70" t="s">
        <v>273</v>
      </c>
      <c r="C15" s="226">
        <f>'Расчет ИПН'!D15</f>
        <v>300000</v>
      </c>
      <c r="D15" s="227"/>
      <c r="E15" s="228">
        <f>'Расчет ОПВ'!K15</f>
        <v>30000</v>
      </c>
      <c r="F15" s="229">
        <f>IF('Расчет ОПВ'!E15=1,0,C15-D15-E15)</f>
        <v>270000</v>
      </c>
      <c r="G15" s="229">
        <f>'Расчетные показатели'!B$2*7</f>
        <v>595000</v>
      </c>
      <c r="H15" s="229">
        <f>IF(F15=0,0,IF(F15&gt;'Расчетные показатели'!B$5,'Расчетные показатели'!B$5,IF(F15&gt;'Расчетные показатели'!B$2,F15,'Расчетные показатели'!B$2)))</f>
        <v>270000</v>
      </c>
      <c r="I15" s="230">
        <f>H15*I$12</f>
        <v>9450</v>
      </c>
      <c r="J15" s="227"/>
      <c r="K15" s="226">
        <f>IF('Расчет ОПВ'!E15=1,0,C15-J15)</f>
        <v>300000</v>
      </c>
      <c r="L15" s="226">
        <f>IF(K15=0,0,IF(K15&gt;'Расчетные показатели'!$B$7,'Расчетные показатели'!$B$7,K15))</f>
        <v>300000</v>
      </c>
      <c r="M15" s="226">
        <f t="shared" ref="M15:M16" si="1">L15*M$12</f>
        <v>9000</v>
      </c>
    </row>
    <row r="16" spans="1:13" ht="20.65" customHeight="1" x14ac:dyDescent="0.2">
      <c r="A16" s="149">
        <v>3</v>
      </c>
      <c r="B16" s="70" t="s">
        <v>274</v>
      </c>
      <c r="C16" s="226">
        <f>'Расчет ИПН'!D16</f>
        <v>100000</v>
      </c>
      <c r="D16" s="228"/>
      <c r="E16" s="228">
        <f>'Расчет ОПВ'!K16</f>
        <v>0</v>
      </c>
      <c r="F16" s="229">
        <f>IF('Расчет ОПВ'!E16=1,0,C16-D16-E16)</f>
        <v>0</v>
      </c>
      <c r="G16" s="229">
        <f>'Расчетные показатели'!B$2*7</f>
        <v>595000</v>
      </c>
      <c r="H16" s="229">
        <f>IF(F16=0,0,IF(F16&gt;'Расчетные показатели'!B$5,'Расчетные показатели'!B$5,IF(F16&gt;'Расчетные показатели'!B$2,F16,'Расчетные показатели'!B$2)))</f>
        <v>0</v>
      </c>
      <c r="I16" s="230">
        <f t="shared" ref="I16" si="2">H16*I$12</f>
        <v>0</v>
      </c>
      <c r="J16" s="228"/>
      <c r="K16" s="226">
        <f>IF('Расчет ОПВ'!E16=1,0,C16-J16)</f>
        <v>0</v>
      </c>
      <c r="L16" s="226">
        <f>IF(K16=0,0,IF(K16&gt;'Расчетные показатели'!$B$7,'Расчетные показатели'!$B$7,K16))</f>
        <v>0</v>
      </c>
      <c r="M16" s="226">
        <f t="shared" si="1"/>
        <v>0</v>
      </c>
    </row>
    <row r="17" spans="1:13" x14ac:dyDescent="0.2">
      <c r="A17" s="148"/>
      <c r="B17" s="67" t="s">
        <v>270</v>
      </c>
      <c r="C17" s="180">
        <f t="shared" ref="C17:M17" si="3">SUM(C18:C20)</f>
        <v>600000</v>
      </c>
      <c r="D17" s="180">
        <f t="shared" si="3"/>
        <v>0</v>
      </c>
      <c r="E17" s="180">
        <f t="shared" si="3"/>
        <v>50000</v>
      </c>
      <c r="F17" s="180">
        <f t="shared" si="3"/>
        <v>450000</v>
      </c>
      <c r="G17" s="180">
        <f t="shared" si="3"/>
        <v>1785000</v>
      </c>
      <c r="H17" s="180">
        <f t="shared" si="3"/>
        <v>450000</v>
      </c>
      <c r="I17" s="180">
        <f t="shared" si="3"/>
        <v>15750</v>
      </c>
      <c r="J17" s="180">
        <f t="shared" si="3"/>
        <v>0</v>
      </c>
      <c r="K17" s="180">
        <f t="shared" si="3"/>
        <v>500000</v>
      </c>
      <c r="L17" s="180">
        <f t="shared" si="3"/>
        <v>500000</v>
      </c>
      <c r="M17" s="180">
        <f t="shared" si="3"/>
        <v>15000</v>
      </c>
    </row>
    <row r="18" spans="1:13" ht="14.65" customHeight="1" x14ac:dyDescent="0.2">
      <c r="A18" s="149">
        <v>1</v>
      </c>
      <c r="B18" s="70" t="s">
        <v>272</v>
      </c>
      <c r="C18" s="226">
        <f>'Расчет ИПН'!D18</f>
        <v>200000</v>
      </c>
      <c r="D18" s="228"/>
      <c r="E18" s="228">
        <f>'Расчет ОПВ'!K18</f>
        <v>20000</v>
      </c>
      <c r="F18" s="229">
        <f>IF('Расчет ОПВ'!E18=1,0,C18-D18-E18)</f>
        <v>180000</v>
      </c>
      <c r="G18" s="229">
        <f>'Расчетные показатели'!B$2*7</f>
        <v>595000</v>
      </c>
      <c r="H18" s="229">
        <f>IF(F18=0,0,IF(F18&gt;'Расчетные показатели'!B$5,'Расчетные показатели'!B$5,IF(F18&gt;'Расчетные показатели'!B$2,F18,'Расчетные показатели'!B$2)))</f>
        <v>180000</v>
      </c>
      <c r="I18" s="230">
        <f>H18*I$12</f>
        <v>6300.0000000000009</v>
      </c>
      <c r="J18" s="228"/>
      <c r="K18" s="226">
        <f>IF('Расчет ОПВ'!E18=1,0,C18-J18)</f>
        <v>200000</v>
      </c>
      <c r="L18" s="226">
        <f>IF(K18=0,0,IF(K18&gt;'Расчетные показатели'!$B$7,'Расчетные показатели'!$B$7,K18))</f>
        <v>200000</v>
      </c>
      <c r="M18" s="226">
        <f>L18*M$12</f>
        <v>6000</v>
      </c>
    </row>
    <row r="19" spans="1:13" ht="15" customHeight="1" x14ac:dyDescent="0.2">
      <c r="A19" s="149">
        <v>2</v>
      </c>
      <c r="B19" s="70" t="s">
        <v>273</v>
      </c>
      <c r="C19" s="226">
        <f>'Расчет ИПН'!D19</f>
        <v>300000</v>
      </c>
      <c r="D19" s="228"/>
      <c r="E19" s="228">
        <f>'Расчет ОПВ'!K19</f>
        <v>30000</v>
      </c>
      <c r="F19" s="229">
        <f>IF('Расчет ОПВ'!E19=1,0,C19-D19-E19)</f>
        <v>270000</v>
      </c>
      <c r="G19" s="229">
        <f>'Расчетные показатели'!B$2*7</f>
        <v>595000</v>
      </c>
      <c r="H19" s="229">
        <f>IF(F19=0,0,IF(F19&gt;'Расчетные показатели'!B$5,'Расчетные показатели'!B$5,IF(F19&gt;'Расчетные показатели'!B$2,F19,'Расчетные показатели'!B$2)))</f>
        <v>270000</v>
      </c>
      <c r="I19" s="230">
        <f>H19*I$12</f>
        <v>9450</v>
      </c>
      <c r="J19" s="228"/>
      <c r="K19" s="226">
        <f>IF('Расчет ОПВ'!E19=1,0,C19-J19)</f>
        <v>300000</v>
      </c>
      <c r="L19" s="226">
        <f>IF(K19=0,0,IF(K19&gt;'Расчетные показатели'!$B$7,'Расчетные показатели'!$B$7,K19))</f>
        <v>300000</v>
      </c>
      <c r="M19" s="226">
        <f t="shared" ref="M19" si="4">L19*M$12</f>
        <v>9000</v>
      </c>
    </row>
    <row r="20" spans="1:13" x14ac:dyDescent="0.2">
      <c r="A20" s="149">
        <v>3</v>
      </c>
      <c r="B20" s="70" t="s">
        <v>274</v>
      </c>
      <c r="C20" s="226">
        <f>'Расчет ИПН'!D20</f>
        <v>100000</v>
      </c>
      <c r="D20" s="228"/>
      <c r="E20" s="228">
        <f>'Расчет ОПВ'!K20</f>
        <v>0</v>
      </c>
      <c r="F20" s="229">
        <f>IF('Расчет ОПВ'!E20=1,0,C20-D20-E20)</f>
        <v>0</v>
      </c>
      <c r="G20" s="229">
        <f>'Расчетные показатели'!B$2*7</f>
        <v>595000</v>
      </c>
      <c r="H20" s="229">
        <f>IF(F20=0,0,IF(F20&gt;'Расчетные показатели'!B$5,'Расчетные показатели'!B$5,IF(F20&gt;'Расчетные показатели'!B$2,F20,'Расчетные показатели'!B$2)))</f>
        <v>0</v>
      </c>
      <c r="I20" s="230">
        <f t="shared" ref="I20" si="5">H20*I$12</f>
        <v>0</v>
      </c>
      <c r="J20" s="228"/>
      <c r="K20" s="226">
        <f>IF('Расчет ОПВ'!E20=1,0,C20-J20)</f>
        <v>0</v>
      </c>
      <c r="L20" s="226">
        <f>IF(K20=0,0,IF(K20&gt;'Расчетные показатели'!$B$7,'Расчетные показатели'!$B$7,K20))</f>
        <v>0</v>
      </c>
      <c r="M20" s="226">
        <f>L20*M$12</f>
        <v>0</v>
      </c>
    </row>
    <row r="21" spans="1:13" ht="16.5" customHeight="1" x14ac:dyDescent="0.2">
      <c r="A21" s="148"/>
      <c r="B21" s="67" t="s">
        <v>271</v>
      </c>
      <c r="C21" s="180">
        <f t="shared" ref="C21:M21" si="6">SUM(C22:C24)</f>
        <v>600000</v>
      </c>
      <c r="D21" s="180">
        <f t="shared" si="6"/>
        <v>0</v>
      </c>
      <c r="E21" s="180">
        <f t="shared" si="6"/>
        <v>50000</v>
      </c>
      <c r="F21" s="180">
        <f t="shared" si="6"/>
        <v>450000</v>
      </c>
      <c r="G21" s="180">
        <f t="shared" si="6"/>
        <v>1785000</v>
      </c>
      <c r="H21" s="180">
        <f t="shared" si="6"/>
        <v>450000</v>
      </c>
      <c r="I21" s="180">
        <f t="shared" si="6"/>
        <v>15750</v>
      </c>
      <c r="J21" s="180">
        <f t="shared" si="6"/>
        <v>0</v>
      </c>
      <c r="K21" s="180">
        <f t="shared" si="6"/>
        <v>500000</v>
      </c>
      <c r="L21" s="180">
        <f t="shared" si="6"/>
        <v>500000</v>
      </c>
      <c r="M21" s="180">
        <f t="shared" si="6"/>
        <v>15000</v>
      </c>
    </row>
    <row r="22" spans="1:13" x14ac:dyDescent="0.2">
      <c r="A22" s="149">
        <v>1</v>
      </c>
      <c r="B22" s="70" t="s">
        <v>272</v>
      </c>
      <c r="C22" s="226">
        <f>'Расчет ИПН'!D22</f>
        <v>200000</v>
      </c>
      <c r="D22" s="228"/>
      <c r="E22" s="228">
        <f>'Расчет ОПВ'!K22</f>
        <v>20000</v>
      </c>
      <c r="F22" s="229">
        <f>IF('Расчет ОПВ'!E22=1,0,C22-D22-E22)</f>
        <v>180000</v>
      </c>
      <c r="G22" s="229">
        <f>'Расчетные показатели'!B$2*7</f>
        <v>595000</v>
      </c>
      <c r="H22" s="229">
        <f>IF(F22=0,0,IF(F22&gt;'Расчетные показатели'!B$5,'Расчетные показатели'!B$5,IF(F22&gt;'Расчетные показатели'!B$2,F22,'Расчетные показатели'!B$2)))</f>
        <v>180000</v>
      </c>
      <c r="I22" s="230">
        <f>H22*I$12</f>
        <v>6300.0000000000009</v>
      </c>
      <c r="J22" s="228"/>
      <c r="K22" s="226">
        <f>IF('Расчет ОПВ'!E22=1,0,C22-J22)</f>
        <v>200000</v>
      </c>
      <c r="L22" s="226">
        <f>IF(K22=0,0,IF(K22&gt;'Расчетные показатели'!$B$7,'Расчетные показатели'!$B$7,K22))</f>
        <v>200000</v>
      </c>
      <c r="M22" s="226">
        <f>L22*M$12</f>
        <v>6000</v>
      </c>
    </row>
    <row r="23" spans="1:13" x14ac:dyDescent="0.2">
      <c r="A23" s="149">
        <v>2</v>
      </c>
      <c r="B23" s="70" t="s">
        <v>273</v>
      </c>
      <c r="C23" s="226">
        <f>'Расчет ИПН'!D23</f>
        <v>300000</v>
      </c>
      <c r="D23" s="228"/>
      <c r="E23" s="228">
        <f>'Расчет ОПВ'!K23</f>
        <v>30000</v>
      </c>
      <c r="F23" s="229">
        <f>IF('Расчет ОПВ'!E23=1,0,C23-D23-E23)</f>
        <v>270000</v>
      </c>
      <c r="G23" s="229">
        <f>'Расчетные показатели'!B$2*7</f>
        <v>595000</v>
      </c>
      <c r="H23" s="229">
        <f>IF(F23=0,0,IF(F23&gt;'Расчетные показатели'!B$5,'Расчетные показатели'!B$5,IF(F23&gt;'Расчетные показатели'!B$2,F23,'Расчетные показатели'!B$2)))</f>
        <v>270000</v>
      </c>
      <c r="I23" s="230">
        <f t="shared" ref="I23:I24" si="7">H23*I$12</f>
        <v>9450</v>
      </c>
      <c r="J23" s="228"/>
      <c r="K23" s="226">
        <f>IF('Расчет ОПВ'!E23=1,0,C23-J23)</f>
        <v>300000</v>
      </c>
      <c r="L23" s="226">
        <f>IF(K23=0,0,IF(K23&gt;'Расчетные показатели'!$B$7,'Расчетные показатели'!$B$7,K23))</f>
        <v>300000</v>
      </c>
      <c r="M23" s="226">
        <f t="shared" ref="M23:M24" si="8">L23*M$12</f>
        <v>9000</v>
      </c>
    </row>
    <row r="24" spans="1:13" x14ac:dyDescent="0.2">
      <c r="A24" s="149">
        <v>3</v>
      </c>
      <c r="B24" s="70" t="s">
        <v>274</v>
      </c>
      <c r="C24" s="226">
        <f>'Расчет ИПН'!D24</f>
        <v>100000</v>
      </c>
      <c r="D24" s="228"/>
      <c r="E24" s="228">
        <f>'Расчет ОПВ'!K24</f>
        <v>0</v>
      </c>
      <c r="F24" s="229">
        <f>IF('Расчет ОПВ'!E24=1,0,C24-D24-E24)</f>
        <v>0</v>
      </c>
      <c r="G24" s="229">
        <f>'Расчетные показатели'!B$2*7</f>
        <v>595000</v>
      </c>
      <c r="H24" s="229">
        <f>IF(F24=0,0,IF(F24&gt;'Расчетные показатели'!B$5,'Расчетные показатели'!B$5,IF(F24&gt;'Расчетные показатели'!B$2,F24,'Расчетные показатели'!B$2)))</f>
        <v>0</v>
      </c>
      <c r="I24" s="230">
        <f t="shared" si="7"/>
        <v>0</v>
      </c>
      <c r="J24" s="228"/>
      <c r="K24" s="226">
        <f>IF('Расчет ОПВ'!E24=1,0,C24-J24)</f>
        <v>0</v>
      </c>
      <c r="L24" s="226">
        <f>IF(K24=0,0,IF(K24&gt;'Расчетные показатели'!$B$7,'Расчетные показатели'!$B$7,K24))</f>
        <v>0</v>
      </c>
      <c r="M24" s="226">
        <f t="shared" si="8"/>
        <v>0</v>
      </c>
    </row>
    <row r="25" spans="1:13" s="127" customFormat="1" ht="24.75" customHeight="1" thickBot="1" x14ac:dyDescent="0.25">
      <c r="A25" s="258" t="s">
        <v>275</v>
      </c>
      <c r="B25" s="259"/>
      <c r="C25" s="150">
        <f t="shared" ref="C25:M25" si="9">C21+C17+C13</f>
        <v>1800000</v>
      </c>
      <c r="D25" s="150">
        <f t="shared" si="9"/>
        <v>0</v>
      </c>
      <c r="E25" s="150">
        <f t="shared" si="9"/>
        <v>150000</v>
      </c>
      <c r="F25" s="150">
        <f t="shared" si="9"/>
        <v>1350000</v>
      </c>
      <c r="G25" s="150">
        <f t="shared" si="9"/>
        <v>5355000</v>
      </c>
      <c r="H25" s="150">
        <f t="shared" si="9"/>
        <v>1350000</v>
      </c>
      <c r="I25" s="231">
        <f t="shared" si="9"/>
        <v>47250</v>
      </c>
      <c r="J25" s="150">
        <f t="shared" si="9"/>
        <v>0</v>
      </c>
      <c r="K25" s="150">
        <f t="shared" si="9"/>
        <v>1500000</v>
      </c>
      <c r="L25" s="150">
        <f t="shared" si="9"/>
        <v>1500000</v>
      </c>
      <c r="M25" s="150">
        <f t="shared" si="9"/>
        <v>45000</v>
      </c>
    </row>
    <row r="26" spans="1:13" x14ac:dyDescent="0.2">
      <c r="A26" s="151"/>
      <c r="B26" s="109"/>
      <c r="C26" s="109"/>
      <c r="D26" s="109"/>
      <c r="E26" s="109"/>
      <c r="F26" s="109"/>
      <c r="G26" s="109"/>
      <c r="H26" s="109"/>
    </row>
    <row r="27" spans="1:13" x14ac:dyDescent="0.2">
      <c r="A27" s="126" t="s">
        <v>96</v>
      </c>
      <c r="B27" s="127"/>
      <c r="D27" s="129"/>
      <c r="E27" s="129"/>
    </row>
    <row r="28" spans="1:13" x14ac:dyDescent="0.2">
      <c r="A28" s="126" t="s">
        <v>97</v>
      </c>
      <c r="B28" s="109"/>
    </row>
    <row r="29" spans="1:13" x14ac:dyDescent="0.2">
      <c r="A29" s="126" t="s">
        <v>96</v>
      </c>
      <c r="B29" s="127"/>
    </row>
  </sheetData>
  <mergeCells count="4">
    <mergeCell ref="F1:H1"/>
    <mergeCell ref="F2:H2"/>
    <mergeCell ref="F4:H4"/>
    <mergeCell ref="A25:B2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Normal="100" workbookViewId="0">
      <selection activeCell="J10" sqref="J10"/>
    </sheetView>
  </sheetViews>
  <sheetFormatPr defaultColWidth="8.85546875" defaultRowHeight="12.75" x14ac:dyDescent="0.2"/>
  <cols>
    <col min="1" max="1" width="4" style="99" customWidth="1"/>
    <col min="2" max="2" width="25.7109375" style="99" customWidth="1"/>
    <col min="3" max="4" width="14.28515625" style="99" customWidth="1"/>
    <col min="5" max="5" width="13.5703125" style="99" customWidth="1"/>
    <col min="6" max="6" width="12.7109375" style="99" customWidth="1"/>
    <col min="7" max="7" width="18.5703125" style="99" customWidth="1"/>
    <col min="8" max="8" width="8.85546875" style="99"/>
    <col min="9" max="9" width="11.7109375" style="99" customWidth="1"/>
    <col min="10" max="16384" width="8.85546875" style="99"/>
  </cols>
  <sheetData>
    <row r="1" spans="1:9" ht="19.5" customHeight="1" x14ac:dyDescent="0.2">
      <c r="A1" s="106" t="s">
        <v>82</v>
      </c>
      <c r="B1" s="107" t="s">
        <v>98</v>
      </c>
      <c r="E1" s="257"/>
      <c r="F1" s="257"/>
      <c r="G1" s="108"/>
      <c r="H1" s="109"/>
    </row>
    <row r="2" spans="1:9" x14ac:dyDescent="0.2">
      <c r="A2" s="106" t="s">
        <v>83</v>
      </c>
      <c r="B2" s="107" t="s">
        <v>99</v>
      </c>
      <c r="C2" s="99">
        <f>'200.00 '!E10</f>
        <v>12332112321</v>
      </c>
      <c r="E2" s="257"/>
      <c r="F2" s="257"/>
      <c r="G2" s="109"/>
      <c r="H2" s="109"/>
    </row>
    <row r="3" spans="1:9" x14ac:dyDescent="0.2">
      <c r="A3" s="109"/>
      <c r="B3" s="102" t="s">
        <v>84</v>
      </c>
      <c r="E3" s="110"/>
      <c r="F3" s="110"/>
      <c r="G3" s="110"/>
      <c r="H3" s="109"/>
    </row>
    <row r="4" spans="1:9" x14ac:dyDescent="0.2">
      <c r="A4" s="103" t="s">
        <v>85</v>
      </c>
      <c r="B4" s="109" t="s">
        <v>100</v>
      </c>
      <c r="D4" s="99" t="str">
        <f>'200.00 '!J14</f>
        <v>ИП Базаев АА</v>
      </c>
      <c r="E4" s="257"/>
      <c r="F4" s="257"/>
      <c r="G4" s="109"/>
      <c r="H4" s="109"/>
    </row>
    <row r="5" spans="1:9" x14ac:dyDescent="0.2">
      <c r="A5" s="103" t="s">
        <v>86</v>
      </c>
      <c r="B5" s="109" t="s">
        <v>101</v>
      </c>
      <c r="C5" s="111">
        <f>'200.00 '!J12</f>
        <v>1</v>
      </c>
      <c r="E5" s="109"/>
      <c r="F5" s="109" t="s">
        <v>103</v>
      </c>
      <c r="G5" s="110">
        <f>'200.00 '!M12</f>
        <v>2024</v>
      </c>
      <c r="H5" s="109"/>
    </row>
    <row r="6" spans="1:9" x14ac:dyDescent="0.2">
      <c r="A6" s="103"/>
      <c r="B6" s="109"/>
      <c r="C6" s="109"/>
      <c r="D6" s="109"/>
      <c r="E6" s="109"/>
      <c r="F6" s="109"/>
      <c r="G6" s="109"/>
      <c r="H6" s="109"/>
    </row>
    <row r="8" spans="1:9" x14ac:dyDescent="0.2">
      <c r="A8" s="109"/>
      <c r="B8" s="131" t="s">
        <v>281</v>
      </c>
      <c r="C8" s="109"/>
      <c r="D8" s="109"/>
      <c r="E8" s="109"/>
      <c r="F8" s="109"/>
    </row>
    <row r="9" spans="1:9" ht="13.5" thickBot="1" x14ac:dyDescent="0.25">
      <c r="A9" s="109"/>
      <c r="B9" s="127"/>
      <c r="C9" s="103"/>
      <c r="D9" s="103"/>
      <c r="E9" s="109"/>
      <c r="F9" s="109"/>
      <c r="G9" s="103" t="s">
        <v>87</v>
      </c>
    </row>
    <row r="10" spans="1:9" s="136" customFormat="1" ht="111.75" customHeight="1" thickBot="1" x14ac:dyDescent="0.25">
      <c r="A10" s="152" t="s">
        <v>88</v>
      </c>
      <c r="B10" s="153" t="s">
        <v>89</v>
      </c>
      <c r="C10" s="153" t="s">
        <v>91</v>
      </c>
      <c r="D10" s="153" t="s">
        <v>112</v>
      </c>
      <c r="E10" s="153" t="s">
        <v>124</v>
      </c>
      <c r="F10" s="153" t="s">
        <v>125</v>
      </c>
      <c r="G10" s="154" t="s">
        <v>126</v>
      </c>
      <c r="H10" s="99"/>
      <c r="I10" s="99"/>
    </row>
    <row r="11" spans="1:9" x14ac:dyDescent="0.2">
      <c r="A11" s="137">
        <v>1</v>
      </c>
      <c r="B11" s="138">
        <v>2</v>
      </c>
      <c r="C11" s="137">
        <v>3</v>
      </c>
      <c r="D11" s="155">
        <v>4</v>
      </c>
      <c r="E11" s="138">
        <v>5</v>
      </c>
      <c r="F11" s="137">
        <v>6</v>
      </c>
      <c r="G11" s="138">
        <v>7</v>
      </c>
    </row>
    <row r="12" spans="1:9" ht="13.5" thickBot="1" x14ac:dyDescent="0.25">
      <c r="A12" s="156"/>
      <c r="B12" s="139"/>
      <c r="C12" s="139"/>
      <c r="D12" s="139"/>
      <c r="E12" s="139" t="s">
        <v>134</v>
      </c>
      <c r="F12" s="139"/>
      <c r="G12" s="157" t="s">
        <v>130</v>
      </c>
    </row>
    <row r="13" spans="1:9" x14ac:dyDescent="0.2">
      <c r="A13" s="158"/>
      <c r="B13" s="159"/>
      <c r="C13" s="159"/>
      <c r="D13" s="159"/>
      <c r="E13" s="159"/>
      <c r="F13" s="159"/>
      <c r="G13" s="160"/>
    </row>
    <row r="14" spans="1:9" x14ac:dyDescent="0.2">
      <c r="A14" s="161"/>
      <c r="B14" s="67" t="s">
        <v>269</v>
      </c>
      <c r="C14" s="162">
        <f>SUM(C15:C17)</f>
        <v>600000</v>
      </c>
      <c r="D14" s="162">
        <f>SUM(D15:D17)</f>
        <v>50000</v>
      </c>
      <c r="E14" s="162">
        <f>SUM(E15:E17)</f>
        <v>11076</v>
      </c>
      <c r="F14" s="162">
        <f>SUM(F15:F17)</f>
        <v>15750</v>
      </c>
      <c r="G14" s="162">
        <f>SUM(G15:G17)</f>
        <v>3692</v>
      </c>
    </row>
    <row r="15" spans="1:9" ht="18" customHeight="1" x14ac:dyDescent="0.2">
      <c r="A15" s="149">
        <v>1</v>
      </c>
      <c r="B15" s="70" t="s">
        <v>272</v>
      </c>
      <c r="C15" s="163">
        <f>'Расчет ОПВ'!D14</f>
        <v>200000</v>
      </c>
      <c r="D15" s="163">
        <f>'Расчет ОПВ'!K14</f>
        <v>20000</v>
      </c>
      <c r="E15" s="164">
        <f>IF(C15&gt;0,'Расчетные показатели'!B$9,0)</f>
        <v>3692</v>
      </c>
      <c r="F15" s="165">
        <f>'Расчет СО и ОСМС'!I14</f>
        <v>6300.0000000000009</v>
      </c>
      <c r="G15" s="166">
        <f>IF(E15&gt;F15,E15-F15,0)</f>
        <v>0</v>
      </c>
    </row>
    <row r="16" spans="1:9" x14ac:dyDescent="0.2">
      <c r="A16" s="149">
        <v>2</v>
      </c>
      <c r="B16" s="70" t="s">
        <v>273</v>
      </c>
      <c r="C16" s="163">
        <f>'Расчет ОПВ'!D15</f>
        <v>300000</v>
      </c>
      <c r="D16" s="163">
        <f>'Расчет ОПВ'!K15</f>
        <v>30000</v>
      </c>
      <c r="E16" s="164">
        <f>IF(C16&gt;0,'Расчетные показатели'!B$9,0)</f>
        <v>3692</v>
      </c>
      <c r="F16" s="165">
        <f>'Расчет СО и ОСМС'!I15</f>
        <v>9450</v>
      </c>
      <c r="G16" s="166">
        <f t="shared" ref="G16" si="0">IF(E16&gt;F16,E16-F16,0)</f>
        <v>0</v>
      </c>
    </row>
    <row r="17" spans="1:9" x14ac:dyDescent="0.2">
      <c r="A17" s="149">
        <v>3</v>
      </c>
      <c r="B17" s="70" t="s">
        <v>274</v>
      </c>
      <c r="C17" s="163">
        <f>'Расчет ОПВ'!D16</f>
        <v>100000</v>
      </c>
      <c r="D17" s="163">
        <f>'Расчет ОПВ'!K16</f>
        <v>0</v>
      </c>
      <c r="E17" s="164">
        <f>IF(C17&gt;0,'Расчетные показатели'!B$9,0)</f>
        <v>3692</v>
      </c>
      <c r="F17" s="165">
        <f>'Расчет СО и ОСМС'!I16</f>
        <v>0</v>
      </c>
      <c r="G17" s="166">
        <f>IF(E17&gt;F17,E17-F17,0)</f>
        <v>3692</v>
      </c>
    </row>
    <row r="18" spans="1:9" x14ac:dyDescent="0.2">
      <c r="A18" s="167"/>
      <c r="B18" s="67" t="s">
        <v>270</v>
      </c>
      <c r="C18" s="162">
        <f>SUM(C19:C21)</f>
        <v>600000</v>
      </c>
      <c r="D18" s="162">
        <f>SUM(D19:D21)</f>
        <v>50000</v>
      </c>
      <c r="E18" s="162">
        <f>SUM(E19:E21)</f>
        <v>11076</v>
      </c>
      <c r="F18" s="162">
        <f>SUM(F19:F21)</f>
        <v>15750</v>
      </c>
      <c r="G18" s="162">
        <f>SUM(G19:G21)</f>
        <v>3692</v>
      </c>
    </row>
    <row r="19" spans="1:9" x14ac:dyDescent="0.2">
      <c r="A19" s="149">
        <v>1</v>
      </c>
      <c r="B19" s="70" t="s">
        <v>272</v>
      </c>
      <c r="C19" s="163">
        <f>'Расчет ОПВ'!D18</f>
        <v>200000</v>
      </c>
      <c r="D19" s="163">
        <f>'Расчет ОПВ'!K18</f>
        <v>20000</v>
      </c>
      <c r="E19" s="164">
        <f>IF(C19&gt;0,'Расчетные показатели'!B$9,0)</f>
        <v>3692</v>
      </c>
      <c r="F19" s="165">
        <f>'Расчет СО и ОСМС'!I18</f>
        <v>6300.0000000000009</v>
      </c>
      <c r="G19" s="168">
        <f>IF(E19&gt;F19,E19-F19,0)</f>
        <v>0</v>
      </c>
    </row>
    <row r="20" spans="1:9" x14ac:dyDescent="0.2">
      <c r="A20" s="149">
        <v>2</v>
      </c>
      <c r="B20" s="70" t="s">
        <v>273</v>
      </c>
      <c r="C20" s="163">
        <f>'Расчет ОПВ'!D19</f>
        <v>300000</v>
      </c>
      <c r="D20" s="163">
        <f>'Расчет ОПВ'!K19</f>
        <v>30000</v>
      </c>
      <c r="E20" s="164">
        <f>IF(C20&gt;0,'Расчетные показатели'!B$9,0)</f>
        <v>3692</v>
      </c>
      <c r="F20" s="165">
        <f>'Расчет СО и ОСМС'!I19</f>
        <v>9450</v>
      </c>
      <c r="G20" s="168">
        <f t="shared" ref="G20:G21" si="1">IF(E20&gt;F20,E20-F20,0)</f>
        <v>0</v>
      </c>
    </row>
    <row r="21" spans="1:9" x14ac:dyDescent="0.2">
      <c r="A21" s="149">
        <v>3</v>
      </c>
      <c r="B21" s="70" t="s">
        <v>274</v>
      </c>
      <c r="C21" s="163">
        <f>'Расчет ОПВ'!D20</f>
        <v>100000</v>
      </c>
      <c r="D21" s="163">
        <f>'Расчет ОПВ'!K20</f>
        <v>0</v>
      </c>
      <c r="E21" s="164">
        <f>IF(C21&gt;0,'Расчетные показатели'!B$9,0)</f>
        <v>3692</v>
      </c>
      <c r="F21" s="165">
        <f>'Расчет СО и ОСМС'!I20</f>
        <v>0</v>
      </c>
      <c r="G21" s="168">
        <f t="shared" si="1"/>
        <v>3692</v>
      </c>
    </row>
    <row r="22" spans="1:9" x14ac:dyDescent="0.2">
      <c r="A22" s="169"/>
      <c r="B22" s="67" t="s">
        <v>271</v>
      </c>
      <c r="C22" s="162">
        <f>SUM(C23:C25)</f>
        <v>600000</v>
      </c>
      <c r="D22" s="162">
        <f>SUM(D23:D25)</f>
        <v>50000</v>
      </c>
      <c r="E22" s="162">
        <f>SUM(E23:E25)</f>
        <v>11076</v>
      </c>
      <c r="F22" s="162">
        <f>SUM(F23:F25)</f>
        <v>15750</v>
      </c>
      <c r="G22" s="162">
        <f>SUM(G23:G25)</f>
        <v>3692</v>
      </c>
    </row>
    <row r="23" spans="1:9" x14ac:dyDescent="0.2">
      <c r="A23" s="149">
        <v>1</v>
      </c>
      <c r="B23" s="70" t="s">
        <v>272</v>
      </c>
      <c r="C23" s="163">
        <f>'Расчет ОПВ'!D22</f>
        <v>200000</v>
      </c>
      <c r="D23" s="163">
        <f>'Расчет ОПВ'!K22</f>
        <v>20000</v>
      </c>
      <c r="E23" s="164">
        <f>IF(C23&gt;0,'Расчетные показатели'!B$9,0)</f>
        <v>3692</v>
      </c>
      <c r="F23" s="165">
        <f>'Расчет СО и ОСМС'!I22</f>
        <v>6300.0000000000009</v>
      </c>
      <c r="G23" s="168">
        <f>IF(E23&gt;F23,E23-F23,0)</f>
        <v>0</v>
      </c>
    </row>
    <row r="24" spans="1:9" x14ac:dyDescent="0.2">
      <c r="A24" s="149">
        <v>2</v>
      </c>
      <c r="B24" s="70" t="s">
        <v>273</v>
      </c>
      <c r="C24" s="163">
        <f>'Расчет ОПВ'!D23</f>
        <v>300000</v>
      </c>
      <c r="D24" s="163">
        <f>'Расчет ОПВ'!K23</f>
        <v>30000</v>
      </c>
      <c r="E24" s="164">
        <f>IF(C24&gt;0,'Расчетные показатели'!B$9,0)</f>
        <v>3692</v>
      </c>
      <c r="F24" s="165">
        <f>'Расчет СО и ОСМС'!I23</f>
        <v>9450</v>
      </c>
      <c r="G24" s="168">
        <f t="shared" ref="G24:G25" si="2">IF(E24&gt;F24,E24-F24,0)</f>
        <v>0</v>
      </c>
      <c r="H24" s="127"/>
      <c r="I24" s="127"/>
    </row>
    <row r="25" spans="1:9" x14ac:dyDescent="0.2">
      <c r="A25" s="149">
        <v>3</v>
      </c>
      <c r="B25" s="70" t="s">
        <v>274</v>
      </c>
      <c r="C25" s="163">
        <f>'Расчет ОПВ'!D24</f>
        <v>100000</v>
      </c>
      <c r="D25" s="163">
        <f>'Расчет ОПВ'!K24</f>
        <v>0</v>
      </c>
      <c r="E25" s="164">
        <f>IF(C25&gt;0,'Расчетные показатели'!B$9,0)</f>
        <v>3692</v>
      </c>
      <c r="F25" s="165">
        <f>'Расчет СО и ОСМС'!I24</f>
        <v>0</v>
      </c>
      <c r="G25" s="168">
        <f t="shared" si="2"/>
        <v>3692</v>
      </c>
    </row>
    <row r="26" spans="1:9" s="127" customFormat="1" ht="29.25" customHeight="1" thickBot="1" x14ac:dyDescent="0.25">
      <c r="A26" s="260" t="s">
        <v>275</v>
      </c>
      <c r="B26" s="261"/>
      <c r="C26" s="170">
        <f>C22+C18+C14</f>
        <v>1800000</v>
      </c>
      <c r="D26" s="170">
        <f>D22+D18+D14</f>
        <v>150000</v>
      </c>
      <c r="E26" s="170">
        <f>E22+E18+E14</f>
        <v>33228</v>
      </c>
      <c r="F26" s="170">
        <f>F22+F18+F14</f>
        <v>47250</v>
      </c>
      <c r="G26" s="170">
        <f>G22+G18+G14</f>
        <v>11076</v>
      </c>
      <c r="H26" s="99"/>
      <c r="I26" s="99"/>
    </row>
    <row r="27" spans="1:9" x14ac:dyDescent="0.2">
      <c r="A27" s="151"/>
      <c r="B27" s="109"/>
      <c r="C27" s="109"/>
      <c r="D27" s="109"/>
      <c r="E27" s="109"/>
      <c r="F27" s="109"/>
    </row>
    <row r="28" spans="1:9" s="127" customFormat="1" x14ac:dyDescent="0.2">
      <c r="A28" s="126" t="s">
        <v>96</v>
      </c>
      <c r="C28" s="128"/>
      <c r="D28" s="128"/>
      <c r="G28" s="171"/>
    </row>
    <row r="29" spans="1:9" x14ac:dyDescent="0.2">
      <c r="A29" s="126" t="s">
        <v>97</v>
      </c>
      <c r="B29" s="109"/>
      <c r="C29" s="128"/>
      <c r="D29" s="128"/>
      <c r="G29" s="127"/>
    </row>
  </sheetData>
  <mergeCells count="4">
    <mergeCell ref="E1:F1"/>
    <mergeCell ref="E2:F2"/>
    <mergeCell ref="E4:F4"/>
    <mergeCell ref="A26:B2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X20"/>
  <sheetViews>
    <sheetView topLeftCell="H1" workbookViewId="0">
      <selection activeCell="S31" sqref="S31"/>
    </sheetView>
  </sheetViews>
  <sheetFormatPr defaultColWidth="9.28515625" defaultRowHeight="12.75" x14ac:dyDescent="0.2"/>
  <cols>
    <col min="1" max="1" width="4.5703125" style="99" customWidth="1"/>
    <col min="2" max="3" width="17.42578125" style="99" customWidth="1"/>
    <col min="4" max="10" width="12.5703125" style="99" customWidth="1"/>
    <col min="11" max="11" width="9.28515625" style="99" bestFit="1" customWidth="1"/>
    <col min="12" max="12" width="9.85546875" style="99" bestFit="1" customWidth="1"/>
    <col min="13" max="13" width="19.42578125" style="99" customWidth="1"/>
    <col min="14" max="14" width="10.28515625" style="99" customWidth="1"/>
    <col min="15" max="15" width="12" style="99" customWidth="1"/>
    <col min="16" max="16" width="9.28515625" style="99" bestFit="1" customWidth="1"/>
    <col min="17" max="17" width="10.28515625" style="99" customWidth="1"/>
    <col min="18" max="18" width="10.28515625" style="99" bestFit="1" customWidth="1"/>
    <col min="19" max="19" width="10.85546875" style="99" customWidth="1"/>
    <col min="20" max="20" width="11.85546875" style="99" customWidth="1"/>
    <col min="21" max="21" width="14.85546875" style="99" customWidth="1"/>
    <col min="22" max="23" width="13.5703125" style="99" customWidth="1"/>
    <col min="24" max="24" width="11.85546875" style="99" customWidth="1"/>
    <col min="25" max="16384" width="9.28515625" style="99"/>
  </cols>
  <sheetData>
    <row r="3" spans="1:24" x14ac:dyDescent="0.2">
      <c r="A3" s="131" t="s">
        <v>147</v>
      </c>
    </row>
    <row r="6" spans="1:24" ht="114.75" x14ac:dyDescent="0.2">
      <c r="A6" s="98" t="s">
        <v>88</v>
      </c>
      <c r="B6" s="98" t="s">
        <v>148</v>
      </c>
      <c r="C6" s="98" t="s">
        <v>180</v>
      </c>
      <c r="D6" s="98" t="s">
        <v>149</v>
      </c>
      <c r="E6" s="98" t="s">
        <v>285</v>
      </c>
      <c r="F6" s="98" t="s">
        <v>286</v>
      </c>
      <c r="G6" s="98" t="s">
        <v>181</v>
      </c>
      <c r="H6" s="98" t="s">
        <v>182</v>
      </c>
      <c r="I6" s="98" t="s">
        <v>159</v>
      </c>
      <c r="J6" s="98" t="s">
        <v>184</v>
      </c>
      <c r="K6" s="98" t="s">
        <v>114</v>
      </c>
      <c r="L6" s="98" t="s">
        <v>151</v>
      </c>
      <c r="M6" s="98" t="s">
        <v>150</v>
      </c>
      <c r="N6" s="98" t="s">
        <v>152</v>
      </c>
      <c r="O6" s="98" t="s">
        <v>105</v>
      </c>
      <c r="P6" s="98" t="s">
        <v>120</v>
      </c>
      <c r="Q6" s="98" t="s">
        <v>121</v>
      </c>
      <c r="R6" s="98" t="s">
        <v>122</v>
      </c>
      <c r="S6" s="98" t="s">
        <v>123</v>
      </c>
      <c r="T6" s="98" t="s">
        <v>185</v>
      </c>
      <c r="U6" s="98" t="s">
        <v>186</v>
      </c>
      <c r="V6" s="98" t="s">
        <v>187</v>
      </c>
      <c r="W6" s="98" t="s">
        <v>188</v>
      </c>
      <c r="X6" s="98" t="s">
        <v>189</v>
      </c>
    </row>
    <row r="7" spans="1:24" hidden="1" x14ac:dyDescent="0.2">
      <c r="A7" s="185"/>
      <c r="B7" s="185" t="s">
        <v>160</v>
      </c>
      <c r="C7" s="185"/>
      <c r="D7" s="185"/>
      <c r="E7" s="185"/>
      <c r="F7" s="185"/>
      <c r="G7" s="185"/>
      <c r="H7" s="185"/>
      <c r="I7" s="185"/>
      <c r="J7" s="185"/>
      <c r="K7" s="240">
        <v>0.1</v>
      </c>
      <c r="L7" s="185"/>
      <c r="M7" s="185"/>
      <c r="N7" s="185"/>
      <c r="O7" s="241"/>
      <c r="P7" s="242"/>
      <c r="Q7" s="242"/>
      <c r="R7" s="242"/>
      <c r="S7" s="242"/>
      <c r="T7" s="242"/>
      <c r="U7" s="242"/>
      <c r="V7" s="174" t="s">
        <v>190</v>
      </c>
      <c r="W7" s="174"/>
      <c r="X7" s="174"/>
    </row>
    <row r="8" spans="1:24" ht="13.15" customHeight="1" x14ac:dyDescent="0.2">
      <c r="B8" s="175" t="s">
        <v>269</v>
      </c>
      <c r="C8" s="176"/>
      <c r="D8" s="243">
        <f>SUM(D9:D11)</f>
        <v>300000</v>
      </c>
      <c r="E8" s="243"/>
      <c r="F8" s="243">
        <f t="shared" ref="F8:N8" si="0">SUM(F9:F11)</f>
        <v>30000</v>
      </c>
      <c r="G8" s="243">
        <f t="shared" si="0"/>
        <v>0</v>
      </c>
      <c r="H8" s="243">
        <f t="shared" si="0"/>
        <v>0</v>
      </c>
      <c r="I8" s="243">
        <f t="shared" si="0"/>
        <v>0</v>
      </c>
      <c r="J8" s="243">
        <f t="shared" si="0"/>
        <v>264000</v>
      </c>
      <c r="K8" s="243">
        <f t="shared" si="0"/>
        <v>26400</v>
      </c>
      <c r="L8" s="243">
        <f t="shared" si="0"/>
        <v>0</v>
      </c>
      <c r="M8" s="243">
        <f t="shared" si="0"/>
        <v>237600</v>
      </c>
      <c r="N8" s="243">
        <f t="shared" si="0"/>
        <v>0</v>
      </c>
      <c r="O8" s="232"/>
      <c r="P8" s="243">
        <f t="shared" ref="P8:X8" si="1">SUM(P9:P11)</f>
        <v>0</v>
      </c>
      <c r="Q8" s="243">
        <f t="shared" si="1"/>
        <v>26400</v>
      </c>
      <c r="R8" s="243">
        <f t="shared" si="1"/>
        <v>26400</v>
      </c>
      <c r="S8" s="243">
        <f t="shared" si="1"/>
        <v>0</v>
      </c>
      <c r="T8" s="243">
        <f t="shared" si="1"/>
        <v>0</v>
      </c>
      <c r="U8" s="243">
        <f t="shared" si="1"/>
        <v>300000</v>
      </c>
      <c r="V8" s="243">
        <f t="shared" si="1"/>
        <v>2550000</v>
      </c>
      <c r="W8" s="243">
        <f t="shared" si="1"/>
        <v>300000</v>
      </c>
      <c r="X8" s="243">
        <f t="shared" si="1"/>
        <v>6000</v>
      </c>
    </row>
    <row r="9" spans="1:24" x14ac:dyDescent="0.2">
      <c r="A9" s="173">
        <v>1</v>
      </c>
      <c r="B9" s="173" t="s">
        <v>274</v>
      </c>
      <c r="C9" s="173"/>
      <c r="D9" s="201">
        <v>300000</v>
      </c>
      <c r="E9" s="201"/>
      <c r="F9" s="226">
        <f>IF(E9=1,0,D9*10%)</f>
        <v>30000</v>
      </c>
      <c r="G9" s="201">
        <v>0</v>
      </c>
      <c r="H9" s="201">
        <v>0</v>
      </c>
      <c r="I9" s="226">
        <v>0</v>
      </c>
      <c r="J9" s="201">
        <f>(D9-G9-H9-X9-F9)</f>
        <v>264000</v>
      </c>
      <c r="K9" s="201">
        <f>J9*10%</f>
        <v>26400</v>
      </c>
      <c r="L9" s="226">
        <v>0</v>
      </c>
      <c r="M9" s="226">
        <f>J9-K9</f>
        <v>237600</v>
      </c>
      <c r="N9" s="201">
        <f>L9+D9-K9-M9-F9-X9</f>
        <v>0</v>
      </c>
      <c r="O9" s="235">
        <f t="shared" ref="O9:O11" si="2">IF(D9=0,0,M9/(L9+D9-F9-K9))</f>
        <v>0.97536945812807885</v>
      </c>
      <c r="P9" s="197">
        <v>0</v>
      </c>
      <c r="Q9" s="235">
        <f>K9</f>
        <v>26400</v>
      </c>
      <c r="R9" s="235">
        <f>IF(N9&lt;=0,(P9+Q9),(P9+Q9)*O9)</f>
        <v>26400</v>
      </c>
      <c r="S9" s="235">
        <f>P9+Q9-R9</f>
        <v>0</v>
      </c>
      <c r="T9" s="197"/>
      <c r="U9" s="235">
        <f>IF(E9=1,0,D9-T9)</f>
        <v>300000</v>
      </c>
      <c r="V9" s="235">
        <f>10*'Расчетные показатели'!B$2</f>
        <v>850000</v>
      </c>
      <c r="W9" s="201">
        <f>IF(U9&lt;V9,U9,V9)</f>
        <v>300000</v>
      </c>
      <c r="X9" s="201">
        <f>W9*2%</f>
        <v>6000</v>
      </c>
    </row>
    <row r="10" spans="1:24" x14ac:dyDescent="0.2">
      <c r="A10" s="173">
        <v>2</v>
      </c>
      <c r="B10" s="173"/>
      <c r="C10" s="173"/>
      <c r="D10" s="201"/>
      <c r="E10" s="201"/>
      <c r="F10" s="226">
        <f t="shared" ref="F10:F11" si="3">IF(E10=1,0,D10*10%)</f>
        <v>0</v>
      </c>
      <c r="G10" s="201"/>
      <c r="H10" s="201"/>
      <c r="I10" s="227"/>
      <c r="J10" s="201">
        <f t="shared" ref="J10:J11" si="4">IF((D10-G10-H10-X10-F10)&lt;0,0,(D10-G10-H10-F10-X10))</f>
        <v>0</v>
      </c>
      <c r="K10" s="201">
        <f t="shared" ref="K10:K11" si="5">J10*10%</f>
        <v>0</v>
      </c>
      <c r="L10" s="226"/>
      <c r="M10" s="226"/>
      <c r="N10" s="201">
        <f t="shared" ref="N10:N11" si="6">L10+D10-K10-M10-F10-X10</f>
        <v>0</v>
      </c>
      <c r="O10" s="235">
        <f t="shared" si="2"/>
        <v>0</v>
      </c>
      <c r="P10" s="100"/>
      <c r="Q10" s="235">
        <f t="shared" ref="Q10:Q19" si="7">K10</f>
        <v>0</v>
      </c>
      <c r="R10" s="235">
        <f>IF(N10&lt;=0,(P10+Q10),(P10+Q10)*O10)</f>
        <v>0</v>
      </c>
      <c r="S10" s="235">
        <f t="shared" ref="S10:S11" si="8">P10+Q10-R10</f>
        <v>0</v>
      </c>
      <c r="T10" s="100"/>
      <c r="U10" s="235">
        <f t="shared" ref="U10:U11" si="9">IF(E10=1,0,D10-T10)</f>
        <v>0</v>
      </c>
      <c r="V10" s="235">
        <f>10*'Расчетные показатели'!B$2</f>
        <v>850000</v>
      </c>
      <c r="W10" s="201">
        <f t="shared" ref="W10:W11" si="10">IF(U10&lt;V10,U10,V10)</f>
        <v>0</v>
      </c>
      <c r="X10" s="201">
        <f t="shared" ref="X10:X11" si="11">W10*2%</f>
        <v>0</v>
      </c>
    </row>
    <row r="11" spans="1:24" x14ac:dyDescent="0.2">
      <c r="A11" s="173">
        <v>3</v>
      </c>
      <c r="B11" s="173"/>
      <c r="C11" s="173"/>
      <c r="D11" s="201"/>
      <c r="E11" s="201"/>
      <c r="F11" s="226">
        <f t="shared" si="3"/>
        <v>0</v>
      </c>
      <c r="G11" s="201"/>
      <c r="H11" s="201"/>
      <c r="I11" s="227"/>
      <c r="J11" s="201">
        <f t="shared" si="4"/>
        <v>0</v>
      </c>
      <c r="K11" s="201">
        <f t="shared" si="5"/>
        <v>0</v>
      </c>
      <c r="L11" s="226"/>
      <c r="M11" s="226"/>
      <c r="N11" s="201">
        <f t="shared" si="6"/>
        <v>0</v>
      </c>
      <c r="O11" s="235">
        <f t="shared" si="2"/>
        <v>0</v>
      </c>
      <c r="P11" s="100"/>
      <c r="Q11" s="235">
        <f t="shared" si="7"/>
        <v>0</v>
      </c>
      <c r="R11" s="235">
        <f t="shared" ref="R11" si="12">IF(N11&lt;=0,(P11+Q11),(P11+Q11)*O11)</f>
        <v>0</v>
      </c>
      <c r="S11" s="235">
        <f t="shared" si="8"/>
        <v>0</v>
      </c>
      <c r="T11" s="100"/>
      <c r="U11" s="235">
        <f t="shared" si="9"/>
        <v>0</v>
      </c>
      <c r="V11" s="235">
        <f>10*'Расчетные показатели'!B$2</f>
        <v>850000</v>
      </c>
      <c r="W11" s="201">
        <f t="shared" si="10"/>
        <v>0</v>
      </c>
      <c r="X11" s="201">
        <f t="shared" si="11"/>
        <v>0</v>
      </c>
    </row>
    <row r="12" spans="1:24" ht="13.15" customHeight="1" x14ac:dyDescent="0.2">
      <c r="B12" s="178" t="s">
        <v>270</v>
      </c>
      <c r="C12" s="176"/>
      <c r="D12" s="243">
        <f>SUM(D13:D15)</f>
        <v>0</v>
      </c>
      <c r="E12" s="243"/>
      <c r="F12" s="243">
        <f t="shared" ref="F12:X12" si="13">SUM(F13:F15)</f>
        <v>0</v>
      </c>
      <c r="G12" s="243">
        <f t="shared" si="13"/>
        <v>0</v>
      </c>
      <c r="H12" s="243">
        <f t="shared" si="13"/>
        <v>0</v>
      </c>
      <c r="I12" s="243">
        <f t="shared" si="13"/>
        <v>0</v>
      </c>
      <c r="J12" s="243">
        <f t="shared" si="13"/>
        <v>0</v>
      </c>
      <c r="K12" s="243">
        <f t="shared" si="13"/>
        <v>0</v>
      </c>
      <c r="L12" s="243">
        <f t="shared" si="13"/>
        <v>0</v>
      </c>
      <c r="M12" s="243">
        <f t="shared" si="13"/>
        <v>0</v>
      </c>
      <c r="N12" s="243">
        <f t="shared" si="13"/>
        <v>0</v>
      </c>
      <c r="O12" s="243">
        <f t="shared" si="13"/>
        <v>0</v>
      </c>
      <c r="P12" s="243">
        <f t="shared" si="13"/>
        <v>0</v>
      </c>
      <c r="Q12" s="243">
        <f t="shared" si="13"/>
        <v>0</v>
      </c>
      <c r="R12" s="243">
        <f t="shared" si="13"/>
        <v>0</v>
      </c>
      <c r="S12" s="243">
        <f t="shared" si="13"/>
        <v>0</v>
      </c>
      <c r="T12" s="243">
        <f t="shared" si="13"/>
        <v>0</v>
      </c>
      <c r="U12" s="243">
        <f t="shared" si="13"/>
        <v>0</v>
      </c>
      <c r="V12" s="243">
        <f t="shared" si="13"/>
        <v>2550000</v>
      </c>
      <c r="W12" s="243">
        <f t="shared" si="13"/>
        <v>0</v>
      </c>
      <c r="X12" s="243">
        <f t="shared" si="13"/>
        <v>0</v>
      </c>
    </row>
    <row r="13" spans="1:24" x14ac:dyDescent="0.2">
      <c r="A13" s="173">
        <v>1</v>
      </c>
      <c r="B13" s="173"/>
      <c r="C13" s="173"/>
      <c r="D13" s="201"/>
      <c r="E13" s="201"/>
      <c r="F13" s="226">
        <f>IF(E13=1,0,D13*10%)</f>
        <v>0</v>
      </c>
      <c r="G13" s="201"/>
      <c r="H13" s="201"/>
      <c r="I13" s="226"/>
      <c r="J13" s="201">
        <f>IF((D13-G13-H13-X13-F13)&lt;0,0,(D13-G13-H13-F13-X13))</f>
        <v>0</v>
      </c>
      <c r="K13" s="201">
        <f t="shared" ref="K13:K15" si="14">J13*10%</f>
        <v>0</v>
      </c>
      <c r="L13" s="226"/>
      <c r="M13" s="226"/>
      <c r="N13" s="201">
        <f>L13+D13-K13-M13-F13-X13</f>
        <v>0</v>
      </c>
      <c r="O13" s="235">
        <f t="shared" ref="O13:O15" si="15">IF(D13=0,0,M13/(L13+D13-F13-K13))</f>
        <v>0</v>
      </c>
      <c r="P13" s="195"/>
      <c r="Q13" s="235">
        <f t="shared" si="7"/>
        <v>0</v>
      </c>
      <c r="R13" s="235">
        <f t="shared" ref="R13:R15" si="16">IF(N13&lt;=0,(P13+Q13),(P13+Q13)*O13)</f>
        <v>0</v>
      </c>
      <c r="S13" s="235">
        <f>P13+Q13-R13</f>
        <v>0</v>
      </c>
      <c r="T13" s="195"/>
      <c r="U13" s="235">
        <f t="shared" ref="U13:U15" si="17">IF(E13=1,0,D13-T13)</f>
        <v>0</v>
      </c>
      <c r="V13" s="235">
        <f>10*'Расчетные показатели'!B$2</f>
        <v>850000</v>
      </c>
      <c r="W13" s="201">
        <f>IF(U13&lt;V13,U13,V13)</f>
        <v>0</v>
      </c>
      <c r="X13" s="201">
        <f>W13*2%</f>
        <v>0</v>
      </c>
    </row>
    <row r="14" spans="1:24" x14ac:dyDescent="0.2">
      <c r="A14" s="173">
        <v>2</v>
      </c>
      <c r="B14" s="173"/>
      <c r="C14" s="173"/>
      <c r="D14" s="201"/>
      <c r="E14" s="201"/>
      <c r="F14" s="226">
        <f t="shared" ref="F14:F15" si="18">IF(E14=1,0,D14*10%)</f>
        <v>0</v>
      </c>
      <c r="G14" s="201"/>
      <c r="H14" s="201"/>
      <c r="I14" s="227"/>
      <c r="J14" s="201">
        <f t="shared" ref="J14:J15" si="19">IF((D14-G14-H14-X14-F14)&lt;0,0,(D14-G14-H14-F14-X14))</f>
        <v>0</v>
      </c>
      <c r="K14" s="201">
        <f t="shared" si="14"/>
        <v>0</v>
      </c>
      <c r="L14" s="226"/>
      <c r="M14" s="226"/>
      <c r="N14" s="201">
        <f t="shared" ref="N14:N15" si="20">L14+D14-K14-M14-F14</f>
        <v>0</v>
      </c>
      <c r="O14" s="235">
        <f t="shared" si="15"/>
        <v>0</v>
      </c>
      <c r="P14" s="195"/>
      <c r="Q14" s="235">
        <f t="shared" si="7"/>
        <v>0</v>
      </c>
      <c r="R14" s="235">
        <f t="shared" si="16"/>
        <v>0</v>
      </c>
      <c r="S14" s="235">
        <f t="shared" ref="S14:S15" si="21">P14+Q14-R14</f>
        <v>0</v>
      </c>
      <c r="T14" s="195"/>
      <c r="U14" s="235">
        <f t="shared" si="17"/>
        <v>0</v>
      </c>
      <c r="V14" s="235">
        <f>10*'Расчетные показатели'!B$2</f>
        <v>850000</v>
      </c>
      <c r="W14" s="201">
        <f t="shared" ref="W14:W15" si="22">IF(U14&lt;V14,U14,V14)</f>
        <v>0</v>
      </c>
      <c r="X14" s="201">
        <f t="shared" ref="X14:X15" si="23">W14*2%</f>
        <v>0</v>
      </c>
    </row>
    <row r="15" spans="1:24" x14ac:dyDescent="0.2">
      <c r="A15" s="173">
        <v>3</v>
      </c>
      <c r="B15" s="173"/>
      <c r="C15" s="173"/>
      <c r="D15" s="201"/>
      <c r="E15" s="201"/>
      <c r="F15" s="226">
        <f t="shared" si="18"/>
        <v>0</v>
      </c>
      <c r="G15" s="201"/>
      <c r="H15" s="201"/>
      <c r="I15" s="227"/>
      <c r="J15" s="201">
        <f t="shared" si="19"/>
        <v>0</v>
      </c>
      <c r="K15" s="201">
        <f t="shared" si="14"/>
        <v>0</v>
      </c>
      <c r="L15" s="226"/>
      <c r="M15" s="226"/>
      <c r="N15" s="201">
        <f t="shared" si="20"/>
        <v>0</v>
      </c>
      <c r="O15" s="235">
        <f t="shared" si="15"/>
        <v>0</v>
      </c>
      <c r="P15" s="195"/>
      <c r="Q15" s="235">
        <f t="shared" si="7"/>
        <v>0</v>
      </c>
      <c r="R15" s="235">
        <f t="shared" si="16"/>
        <v>0</v>
      </c>
      <c r="S15" s="235">
        <f t="shared" si="21"/>
        <v>0</v>
      </c>
      <c r="T15" s="195"/>
      <c r="U15" s="235">
        <f t="shared" si="17"/>
        <v>0</v>
      </c>
      <c r="V15" s="235">
        <f>10*'Расчетные показатели'!B$2</f>
        <v>850000</v>
      </c>
      <c r="W15" s="201">
        <f t="shared" si="22"/>
        <v>0</v>
      </c>
      <c r="X15" s="201">
        <f t="shared" si="23"/>
        <v>0</v>
      </c>
    </row>
    <row r="16" spans="1:24" ht="13.15" customHeight="1" x14ac:dyDescent="0.2">
      <c r="B16" s="178" t="s">
        <v>271</v>
      </c>
      <c r="C16" s="176"/>
      <c r="D16" s="243">
        <f>SUM(D17:D19)</f>
        <v>0</v>
      </c>
      <c r="E16" s="243"/>
      <c r="F16" s="243">
        <f t="shared" ref="F16:L16" si="24">SUM(F17:F19)</f>
        <v>0</v>
      </c>
      <c r="G16" s="243">
        <f t="shared" si="24"/>
        <v>0</v>
      </c>
      <c r="H16" s="243">
        <f t="shared" si="24"/>
        <v>0</v>
      </c>
      <c r="I16" s="243">
        <f t="shared" si="24"/>
        <v>0</v>
      </c>
      <c r="J16" s="243">
        <f t="shared" si="24"/>
        <v>0</v>
      </c>
      <c r="K16" s="243">
        <f t="shared" si="24"/>
        <v>0</v>
      </c>
      <c r="L16" s="243">
        <f t="shared" si="24"/>
        <v>0</v>
      </c>
      <c r="M16" s="243"/>
      <c r="N16" s="243">
        <f t="shared" ref="N16:X16" si="25">SUM(N17:N19)</f>
        <v>0</v>
      </c>
      <c r="O16" s="243">
        <f t="shared" si="25"/>
        <v>0</v>
      </c>
      <c r="P16" s="243">
        <f t="shared" si="25"/>
        <v>0</v>
      </c>
      <c r="Q16" s="243">
        <f t="shared" si="25"/>
        <v>0</v>
      </c>
      <c r="R16" s="243">
        <f t="shared" si="25"/>
        <v>0</v>
      </c>
      <c r="S16" s="243">
        <f t="shared" si="25"/>
        <v>0</v>
      </c>
      <c r="T16" s="243">
        <f t="shared" si="25"/>
        <v>0</v>
      </c>
      <c r="U16" s="243">
        <f t="shared" si="25"/>
        <v>0</v>
      </c>
      <c r="V16" s="243">
        <f t="shared" si="25"/>
        <v>2550000</v>
      </c>
      <c r="W16" s="243">
        <f t="shared" si="25"/>
        <v>0</v>
      </c>
      <c r="X16" s="243">
        <f t="shared" si="25"/>
        <v>0</v>
      </c>
    </row>
    <row r="17" spans="1:24" x14ac:dyDescent="0.2">
      <c r="A17" s="173">
        <v>1</v>
      </c>
      <c r="B17" s="173"/>
      <c r="C17" s="173"/>
      <c r="D17" s="201"/>
      <c r="E17" s="201"/>
      <c r="F17" s="226">
        <f>IF(E17=1,0,D17*10%)</f>
        <v>0</v>
      </c>
      <c r="G17" s="201"/>
      <c r="H17" s="201"/>
      <c r="I17" s="226"/>
      <c r="J17" s="201">
        <f>IF((D17-G17-H17-X17-F17)&lt;0,0,(D17-G17-H17-F17-X17))</f>
        <v>0</v>
      </c>
      <c r="K17" s="201">
        <f t="shared" ref="K17:K19" si="26">J17*10%</f>
        <v>0</v>
      </c>
      <c r="L17" s="226">
        <f>N13</f>
        <v>0</v>
      </c>
      <c r="M17" s="226"/>
      <c r="N17" s="201">
        <f>L17+D17-K17-M17-F17-X17</f>
        <v>0</v>
      </c>
      <c r="O17" s="235">
        <f t="shared" ref="O17:O19" si="27">IF(D17=0,0,M17/(L17+D17-F17-K17))</f>
        <v>0</v>
      </c>
      <c r="P17" s="195">
        <f>S13</f>
        <v>0</v>
      </c>
      <c r="Q17" s="235">
        <f t="shared" si="7"/>
        <v>0</v>
      </c>
      <c r="R17" s="235">
        <f t="shared" ref="R17:R19" si="28">IF(N17&lt;=0,(P17+Q17),(P17+Q17)*O17)</f>
        <v>0</v>
      </c>
      <c r="S17" s="235">
        <f>P17+Q17-R17</f>
        <v>0</v>
      </c>
      <c r="T17" s="195"/>
      <c r="U17" s="235">
        <f t="shared" ref="U17:U19" si="29">IF(E17=1,0,D17-T17)</f>
        <v>0</v>
      </c>
      <c r="V17" s="235">
        <f>10*'Расчетные показатели'!B$2</f>
        <v>850000</v>
      </c>
      <c r="W17" s="201">
        <f>IF(U17&lt;V17,U17,V17)</f>
        <v>0</v>
      </c>
      <c r="X17" s="201">
        <f>W17*2%</f>
        <v>0</v>
      </c>
    </row>
    <row r="18" spans="1:24" x14ac:dyDescent="0.2">
      <c r="A18" s="173">
        <v>2</v>
      </c>
      <c r="B18" s="173"/>
      <c r="C18" s="173"/>
      <c r="D18" s="201"/>
      <c r="E18" s="201"/>
      <c r="F18" s="226">
        <f t="shared" ref="F18:F19" si="30">IF(E18=1,0,D18*10%)</f>
        <v>0</v>
      </c>
      <c r="G18" s="201"/>
      <c r="H18" s="201"/>
      <c r="I18" s="227"/>
      <c r="J18" s="201">
        <f t="shared" ref="J18:J19" si="31">IF((D18-G18-H18-X18-F18)&lt;0,0,(D18-G18-H18-F18-X18))</f>
        <v>0</v>
      </c>
      <c r="K18" s="201">
        <f t="shared" si="26"/>
        <v>0</v>
      </c>
      <c r="L18" s="226"/>
      <c r="M18" s="226"/>
      <c r="N18" s="201">
        <f t="shared" ref="N18:N19" si="32">L18+D18-K18-M18-F18</f>
        <v>0</v>
      </c>
      <c r="O18" s="235">
        <f t="shared" si="27"/>
        <v>0</v>
      </c>
      <c r="P18" s="195"/>
      <c r="Q18" s="235">
        <f t="shared" si="7"/>
        <v>0</v>
      </c>
      <c r="R18" s="235">
        <f t="shared" si="28"/>
        <v>0</v>
      </c>
      <c r="S18" s="235">
        <f t="shared" ref="S18:S19" si="33">P18+Q18-R18</f>
        <v>0</v>
      </c>
      <c r="T18" s="195"/>
      <c r="U18" s="235">
        <f t="shared" si="29"/>
        <v>0</v>
      </c>
      <c r="V18" s="235">
        <f>10*'Расчетные показатели'!B$2</f>
        <v>850000</v>
      </c>
      <c r="W18" s="201">
        <f t="shared" ref="W18:W19" si="34">IF(U18&lt;V18,U18,V18)</f>
        <v>0</v>
      </c>
      <c r="X18" s="201">
        <f t="shared" ref="X18:X19" si="35">W18*2%</f>
        <v>0</v>
      </c>
    </row>
    <row r="19" spans="1:24" x14ac:dyDescent="0.2">
      <c r="A19" s="173">
        <v>3</v>
      </c>
      <c r="B19" s="173"/>
      <c r="C19" s="173"/>
      <c r="D19" s="201"/>
      <c r="E19" s="201"/>
      <c r="F19" s="226">
        <f t="shared" si="30"/>
        <v>0</v>
      </c>
      <c r="G19" s="201"/>
      <c r="H19" s="201"/>
      <c r="I19" s="227"/>
      <c r="J19" s="201">
        <f t="shared" si="31"/>
        <v>0</v>
      </c>
      <c r="K19" s="201">
        <f t="shared" si="26"/>
        <v>0</v>
      </c>
      <c r="L19" s="226"/>
      <c r="M19" s="226"/>
      <c r="N19" s="201">
        <f t="shared" si="32"/>
        <v>0</v>
      </c>
      <c r="O19" s="235">
        <f t="shared" si="27"/>
        <v>0</v>
      </c>
      <c r="P19" s="195"/>
      <c r="Q19" s="235">
        <f t="shared" si="7"/>
        <v>0</v>
      </c>
      <c r="R19" s="235">
        <f t="shared" si="28"/>
        <v>0</v>
      </c>
      <c r="S19" s="235">
        <f t="shared" si="33"/>
        <v>0</v>
      </c>
      <c r="T19" s="195"/>
      <c r="U19" s="235">
        <f t="shared" si="29"/>
        <v>0</v>
      </c>
      <c r="V19" s="235">
        <f>10*'Расчетные показатели'!B$2</f>
        <v>850000</v>
      </c>
      <c r="W19" s="201">
        <f t="shared" si="34"/>
        <v>0</v>
      </c>
      <c r="X19" s="201">
        <f t="shared" si="35"/>
        <v>0</v>
      </c>
    </row>
    <row r="20" spans="1:24" s="127" customFormat="1" ht="42.75" customHeight="1" thickBot="1" x14ac:dyDescent="0.25">
      <c r="A20" s="260" t="s">
        <v>275</v>
      </c>
      <c r="B20" s="261"/>
      <c r="C20" s="179"/>
      <c r="D20" s="170">
        <f>D16+D12+D8</f>
        <v>300000</v>
      </c>
      <c r="E20" s="170"/>
      <c r="F20" s="170">
        <f t="shared" ref="F20:K20" si="36">F16+F12+F8</f>
        <v>30000</v>
      </c>
      <c r="G20" s="170">
        <f t="shared" si="36"/>
        <v>0</v>
      </c>
      <c r="H20" s="170">
        <f t="shared" si="36"/>
        <v>0</v>
      </c>
      <c r="I20" s="170">
        <f t="shared" si="36"/>
        <v>0</v>
      </c>
      <c r="J20" s="170">
        <f t="shared" si="36"/>
        <v>264000</v>
      </c>
      <c r="K20" s="170">
        <f t="shared" si="36"/>
        <v>26400</v>
      </c>
      <c r="L20" s="170">
        <f>L8</f>
        <v>0</v>
      </c>
      <c r="M20" s="170">
        <f t="shared" ref="M20:V20" si="37">M16+M12+M8</f>
        <v>237600</v>
      </c>
      <c r="N20" s="170">
        <f t="shared" si="37"/>
        <v>0</v>
      </c>
      <c r="O20" s="170">
        <f t="shared" si="37"/>
        <v>0</v>
      </c>
      <c r="P20" s="170">
        <f t="shared" si="37"/>
        <v>0</v>
      </c>
      <c r="Q20" s="170">
        <f t="shared" si="37"/>
        <v>26400</v>
      </c>
      <c r="R20" s="170">
        <f t="shared" si="37"/>
        <v>26400</v>
      </c>
      <c r="S20" s="170">
        <f t="shared" si="37"/>
        <v>0</v>
      </c>
      <c r="T20" s="170">
        <f t="shared" si="37"/>
        <v>0</v>
      </c>
      <c r="U20" s="170">
        <f t="shared" si="37"/>
        <v>300000</v>
      </c>
      <c r="V20" s="170">
        <f t="shared" si="37"/>
        <v>7650000</v>
      </c>
      <c r="W20" s="170">
        <f>W16+W12+W7</f>
        <v>0</v>
      </c>
      <c r="X20" s="170">
        <f>X16+X12+X8</f>
        <v>6000</v>
      </c>
    </row>
  </sheetData>
  <mergeCells count="1">
    <mergeCell ref="A20:B20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abSelected="1" workbookViewId="0">
      <selection activeCell="K34" sqref="K34"/>
    </sheetView>
  </sheetViews>
  <sheetFormatPr defaultColWidth="9.140625" defaultRowHeight="12.75" x14ac:dyDescent="0.2"/>
  <cols>
    <col min="1" max="1" width="3" style="99" customWidth="1"/>
    <col min="2" max="2" width="21.28515625" style="99" customWidth="1"/>
    <col min="3" max="3" width="22" style="99" customWidth="1"/>
    <col min="4" max="4" width="13.7109375" style="99" customWidth="1"/>
    <col min="5" max="6" width="13.140625" style="99" customWidth="1"/>
    <col min="7" max="8" width="11.85546875" style="99" customWidth="1"/>
    <col min="9" max="9" width="14.7109375" style="99" customWidth="1"/>
    <col min="10" max="10" width="13.140625" style="99" customWidth="1"/>
    <col min="11" max="11" width="11.7109375" style="99" customWidth="1"/>
    <col min="12" max="15" width="15.5703125" style="99" customWidth="1"/>
    <col min="16" max="16" width="13.85546875" style="99" customWidth="1"/>
    <col min="17" max="20" width="12.7109375" style="99" customWidth="1"/>
    <col min="21" max="21" width="10.140625" style="99" bestFit="1" customWidth="1"/>
    <col min="22" max="23" width="9.140625" style="99"/>
    <col min="24" max="24" width="10.7109375" style="99" customWidth="1"/>
    <col min="25" max="25" width="11.5703125" style="99" customWidth="1"/>
    <col min="26" max="16384" width="9.140625" style="99"/>
  </cols>
  <sheetData>
    <row r="1" spans="1:25" ht="19.5" customHeight="1" x14ac:dyDescent="0.2">
      <c r="A1" s="106" t="s">
        <v>82</v>
      </c>
      <c r="B1" s="107" t="s">
        <v>98</v>
      </c>
      <c r="C1" s="107"/>
      <c r="G1" s="257"/>
      <c r="H1" s="257"/>
      <c r="I1" s="257"/>
      <c r="J1" s="108"/>
      <c r="K1" s="108"/>
      <c r="L1" s="109"/>
      <c r="M1" s="109"/>
      <c r="N1" s="109"/>
      <c r="O1" s="109"/>
    </row>
    <row r="2" spans="1:25" x14ac:dyDescent="0.2">
      <c r="A2" s="106" t="s">
        <v>83</v>
      </c>
      <c r="B2" s="107" t="s">
        <v>99</v>
      </c>
      <c r="C2" s="102">
        <f>'200.00 '!E10</f>
        <v>12332112321</v>
      </c>
      <c r="G2" s="257"/>
      <c r="H2" s="257"/>
      <c r="I2" s="257"/>
      <c r="J2" s="109"/>
      <c r="K2" s="109"/>
      <c r="L2" s="109"/>
      <c r="M2" s="109"/>
      <c r="N2" s="109"/>
      <c r="O2" s="109"/>
    </row>
    <row r="3" spans="1:25" x14ac:dyDescent="0.2">
      <c r="A3" s="109"/>
      <c r="B3" s="102" t="s">
        <v>84</v>
      </c>
      <c r="C3" s="102"/>
      <c r="G3" s="110"/>
      <c r="H3" s="110"/>
      <c r="I3" s="110"/>
      <c r="J3" s="110"/>
      <c r="K3" s="110"/>
      <c r="L3" s="109"/>
      <c r="M3" s="109"/>
      <c r="N3" s="109"/>
      <c r="O3" s="109"/>
    </row>
    <row r="4" spans="1:25" x14ac:dyDescent="0.2">
      <c r="A4" s="103" t="s">
        <v>85</v>
      </c>
      <c r="B4" s="109" t="s">
        <v>100</v>
      </c>
      <c r="C4" s="109"/>
      <c r="D4" s="99" t="str">
        <f>'200.00 '!J14</f>
        <v>ИП Базаев АА</v>
      </c>
      <c r="G4" s="257"/>
      <c r="H4" s="257"/>
      <c r="I4" s="257"/>
      <c r="J4" s="109"/>
      <c r="K4" s="109"/>
      <c r="L4" s="109"/>
      <c r="M4" s="109"/>
      <c r="N4" s="109"/>
      <c r="O4" s="109"/>
    </row>
    <row r="5" spans="1:25" x14ac:dyDescent="0.2">
      <c r="A5" s="103" t="s">
        <v>86</v>
      </c>
      <c r="B5" s="109" t="s">
        <v>101</v>
      </c>
      <c r="C5" s="109"/>
      <c r="G5" s="109" t="s">
        <v>102</v>
      </c>
      <c r="H5" s="110">
        <f>'200.00 '!J12</f>
        <v>1</v>
      </c>
      <c r="I5" s="109" t="s">
        <v>103</v>
      </c>
      <c r="J5" s="110">
        <f>'200.00 '!M12</f>
        <v>2024</v>
      </c>
      <c r="K5" s="109"/>
      <c r="L5" s="109"/>
      <c r="M5" s="109"/>
      <c r="N5" s="109"/>
      <c r="O5" s="109"/>
    </row>
    <row r="6" spans="1:25" ht="13.5" thickBot="1" x14ac:dyDescent="0.25">
      <c r="A6" s="109"/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 t="s">
        <v>87</v>
      </c>
      <c r="M6" s="109"/>
      <c r="N6" s="109"/>
      <c r="O6" s="109"/>
    </row>
    <row r="7" spans="1:25" ht="102.75" customHeight="1" thickBot="1" x14ac:dyDescent="0.25">
      <c r="A7" s="152" t="s">
        <v>88</v>
      </c>
      <c r="B7" s="153" t="s">
        <v>89</v>
      </c>
      <c r="C7" s="153" t="s">
        <v>90</v>
      </c>
      <c r="D7" s="153" t="s">
        <v>91</v>
      </c>
      <c r="E7" s="153" t="s">
        <v>153</v>
      </c>
      <c r="F7" s="153" t="s">
        <v>92</v>
      </c>
      <c r="G7" s="153" t="s">
        <v>93</v>
      </c>
      <c r="H7" s="153" t="s">
        <v>104</v>
      </c>
      <c r="I7" s="153" t="s">
        <v>94</v>
      </c>
      <c r="J7" s="153" t="s">
        <v>95</v>
      </c>
      <c r="K7" s="154" t="s">
        <v>228</v>
      </c>
      <c r="L7" s="172" t="s">
        <v>229</v>
      </c>
      <c r="M7" s="172" t="s">
        <v>186</v>
      </c>
      <c r="N7" s="172" t="s">
        <v>187</v>
      </c>
      <c r="O7" s="172" t="s">
        <v>188</v>
      </c>
      <c r="P7" s="172" t="s">
        <v>189</v>
      </c>
      <c r="Q7" s="172" t="s">
        <v>230</v>
      </c>
      <c r="R7" s="172" t="s">
        <v>231</v>
      </c>
      <c r="S7" s="172" t="s">
        <v>232</v>
      </c>
      <c r="T7" s="172" t="s">
        <v>233</v>
      </c>
      <c r="U7" s="172" t="s">
        <v>234</v>
      </c>
      <c r="V7" s="172" t="s">
        <v>235</v>
      </c>
      <c r="W7" s="172" t="s">
        <v>114</v>
      </c>
      <c r="X7" s="153" t="s">
        <v>224</v>
      </c>
      <c r="Y7" s="153" t="s">
        <v>236</v>
      </c>
    </row>
    <row r="8" spans="1:25" x14ac:dyDescent="0.2">
      <c r="A8" s="181"/>
      <c r="B8" s="182">
        <v>1</v>
      </c>
      <c r="C8" s="182">
        <v>2</v>
      </c>
      <c r="D8" s="182">
        <v>3</v>
      </c>
      <c r="E8" s="182">
        <v>4</v>
      </c>
      <c r="F8" s="183">
        <v>5</v>
      </c>
      <c r="G8" s="182">
        <v>6</v>
      </c>
      <c r="H8" s="183">
        <v>7</v>
      </c>
      <c r="I8" s="182">
        <v>8</v>
      </c>
      <c r="J8" s="183">
        <v>9</v>
      </c>
      <c r="K8" s="184">
        <v>10</v>
      </c>
      <c r="L8" s="139">
        <v>11</v>
      </c>
      <c r="M8" s="139">
        <v>12</v>
      </c>
      <c r="N8" s="139">
        <v>13</v>
      </c>
      <c r="O8" s="139">
        <v>14</v>
      </c>
      <c r="P8" s="139">
        <v>15</v>
      </c>
      <c r="Q8" s="139">
        <v>15</v>
      </c>
      <c r="R8" s="139">
        <v>16</v>
      </c>
      <c r="S8" s="139">
        <v>17</v>
      </c>
      <c r="T8" s="139">
        <v>18</v>
      </c>
      <c r="U8" s="139">
        <v>19</v>
      </c>
      <c r="V8" s="139">
        <v>20</v>
      </c>
      <c r="W8" s="139">
        <v>21</v>
      </c>
      <c r="X8" s="139">
        <v>22</v>
      </c>
      <c r="Y8" s="139">
        <v>23</v>
      </c>
    </row>
    <row r="9" spans="1:25" ht="38.25" hidden="1" x14ac:dyDescent="0.2">
      <c r="A9" s="141"/>
      <c r="B9" s="117"/>
      <c r="C9" s="117"/>
      <c r="D9" s="113"/>
      <c r="E9" s="113"/>
      <c r="F9" s="113"/>
      <c r="G9" s="174" t="s">
        <v>237</v>
      </c>
      <c r="H9" s="185" t="s">
        <v>238</v>
      </c>
      <c r="I9" s="185" t="s">
        <v>168</v>
      </c>
      <c r="J9" s="185" t="s">
        <v>239</v>
      </c>
      <c r="K9" s="186" t="s">
        <v>240</v>
      </c>
      <c r="L9" s="173"/>
      <c r="M9" s="174" t="s">
        <v>241</v>
      </c>
      <c r="N9" s="174" t="s">
        <v>242</v>
      </c>
      <c r="O9" s="174" t="s">
        <v>243</v>
      </c>
      <c r="P9" s="187">
        <f>21.5%*9.3%</f>
        <v>1.9995000000000002E-2</v>
      </c>
      <c r="Q9" s="187">
        <f>21.5%*14%</f>
        <v>3.0100000000000002E-2</v>
      </c>
      <c r="R9" s="173"/>
      <c r="S9" s="174" t="s">
        <v>244</v>
      </c>
      <c r="T9" s="174" t="s">
        <v>245</v>
      </c>
      <c r="U9" s="174" t="s">
        <v>246</v>
      </c>
      <c r="V9" s="187">
        <f>21.5%*14.9%</f>
        <v>3.2035000000000001E-2</v>
      </c>
      <c r="W9" s="188">
        <f>21.5%*8.4%</f>
        <v>1.806E-2</v>
      </c>
      <c r="X9" s="188">
        <f>21.5%*7%</f>
        <v>1.5050000000000001E-2</v>
      </c>
      <c r="Y9" s="174"/>
    </row>
    <row r="10" spans="1:25" hidden="1" x14ac:dyDescent="0.2">
      <c r="A10" s="141"/>
      <c r="B10" s="117" t="s">
        <v>166</v>
      </c>
      <c r="C10" s="117"/>
      <c r="D10" s="113"/>
      <c r="E10" s="113"/>
      <c r="F10" s="113"/>
      <c r="G10" s="174"/>
      <c r="H10" s="189">
        <f>21.5%*46.5%</f>
        <v>9.9975000000000008E-2</v>
      </c>
      <c r="I10" s="185"/>
      <c r="J10" s="189">
        <f>21.5%*46.5%</f>
        <v>9.9975000000000008E-2</v>
      </c>
      <c r="K10" s="14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</row>
    <row r="11" spans="1:25" x14ac:dyDescent="0.2">
      <c r="A11" s="141"/>
      <c r="B11" s="120" t="s">
        <v>269</v>
      </c>
      <c r="C11" s="117"/>
      <c r="D11" s="180">
        <f>SUM(D12:D14)</f>
        <v>0</v>
      </c>
      <c r="E11" s="180"/>
      <c r="F11" s="180">
        <f>SUM(F12:F14)</f>
        <v>0</v>
      </c>
      <c r="G11" s="180">
        <f>SUM(G12:G14)</f>
        <v>0</v>
      </c>
      <c r="H11" s="180">
        <f>SUM(H12:H14)</f>
        <v>0</v>
      </c>
      <c r="I11" s="180"/>
      <c r="J11" s="180"/>
      <c r="K11" s="180">
        <f t="shared" ref="K11:Y11" si="0">SUM(K12:K14)</f>
        <v>0</v>
      </c>
      <c r="L11" s="180">
        <f t="shared" si="0"/>
        <v>0</v>
      </c>
      <c r="M11" s="180">
        <f t="shared" si="0"/>
        <v>0</v>
      </c>
      <c r="N11" s="180">
        <f t="shared" si="0"/>
        <v>2550000</v>
      </c>
      <c r="O11" s="180">
        <f t="shared" si="0"/>
        <v>0</v>
      </c>
      <c r="P11" s="180">
        <f t="shared" si="0"/>
        <v>0</v>
      </c>
      <c r="Q11" s="180">
        <f t="shared" si="0"/>
        <v>0</v>
      </c>
      <c r="R11" s="180">
        <f t="shared" si="0"/>
        <v>0</v>
      </c>
      <c r="S11" s="180">
        <f t="shared" si="0"/>
        <v>0</v>
      </c>
      <c r="T11" s="180">
        <f t="shared" si="0"/>
        <v>1785000</v>
      </c>
      <c r="U11" s="180">
        <f t="shared" si="0"/>
        <v>0</v>
      </c>
      <c r="V11" s="180">
        <f t="shared" si="0"/>
        <v>0</v>
      </c>
      <c r="W11" s="180">
        <f t="shared" si="0"/>
        <v>0</v>
      </c>
      <c r="X11" s="180">
        <f t="shared" si="0"/>
        <v>0</v>
      </c>
      <c r="Y11" s="180">
        <f t="shared" si="0"/>
        <v>0</v>
      </c>
    </row>
    <row r="12" spans="1:25" ht="14.45" customHeight="1" x14ac:dyDescent="0.2">
      <c r="A12" s="149">
        <v>1</v>
      </c>
      <c r="B12" s="190"/>
      <c r="C12" s="122"/>
      <c r="D12" s="100"/>
      <c r="E12" s="191"/>
      <c r="F12" s="100"/>
      <c r="G12" s="100">
        <f>IF(E12=1,0,D12-F12)</f>
        <v>0</v>
      </c>
      <c r="H12" s="100">
        <f>G12*$H$10</f>
        <v>0</v>
      </c>
      <c r="I12" s="100">
        <f>50*'Расчетные показатели'!B$2</f>
        <v>4250000</v>
      </c>
      <c r="J12" s="100">
        <f>I12*J$10</f>
        <v>424893.75000000006</v>
      </c>
      <c r="K12" s="100">
        <f>IF(J12&lt;H12,J12,H12)</f>
        <v>0</v>
      </c>
      <c r="L12" s="100"/>
      <c r="M12" s="177">
        <f t="shared" ref="M12:M14" si="1">D12-L12</f>
        <v>0</v>
      </c>
      <c r="N12" s="177">
        <f>10*'Расчетные показатели'!B$2</f>
        <v>850000</v>
      </c>
      <c r="O12" s="177">
        <f>IF(M12&lt;N12,M12,N12)</f>
        <v>0</v>
      </c>
      <c r="P12" s="177">
        <f>O12*P$9</f>
        <v>0</v>
      </c>
      <c r="Q12" s="177">
        <f>O12*Q$9</f>
        <v>0</v>
      </c>
      <c r="R12" s="100"/>
      <c r="S12" s="177">
        <f>D12-R12</f>
        <v>0</v>
      </c>
      <c r="T12" s="177">
        <f>'Расчетные показатели'!B$5</f>
        <v>595000</v>
      </c>
      <c r="U12" s="177">
        <f>MIN(S12,T12)</f>
        <v>0</v>
      </c>
      <c r="V12" s="177">
        <f>U12*V$9</f>
        <v>0</v>
      </c>
      <c r="W12" s="177">
        <f>D12*W$9</f>
        <v>0</v>
      </c>
      <c r="X12" s="192">
        <f>G12*$X$9</f>
        <v>0</v>
      </c>
      <c r="Y12" s="177">
        <f>K12+P12+Q12+V12+W12+X12</f>
        <v>0</v>
      </c>
    </row>
    <row r="13" spans="1:25" ht="14.45" customHeight="1" x14ac:dyDescent="0.2">
      <c r="A13" s="149">
        <v>2</v>
      </c>
      <c r="B13" s="190"/>
      <c r="C13" s="122"/>
      <c r="D13" s="100"/>
      <c r="E13" s="191"/>
      <c r="F13" s="100"/>
      <c r="G13" s="100">
        <f>IF(E13=1,0,D13-F13)</f>
        <v>0</v>
      </c>
      <c r="H13" s="100">
        <f>G13*$H$10</f>
        <v>0</v>
      </c>
      <c r="I13" s="100">
        <f>50*'Расчетные показатели'!B$2</f>
        <v>4250000</v>
      </c>
      <c r="J13" s="100">
        <f>I13*J$10</f>
        <v>424893.75000000006</v>
      </c>
      <c r="K13" s="100">
        <f t="shared" ref="K13:K14" si="2">IF(J13&lt;H13,J13,H13)</f>
        <v>0</v>
      </c>
      <c r="L13" s="100"/>
      <c r="M13" s="177">
        <f t="shared" si="1"/>
        <v>0</v>
      </c>
      <c r="N13" s="177">
        <f>10*'Расчетные показатели'!B$2</f>
        <v>850000</v>
      </c>
      <c r="O13" s="177">
        <f t="shared" ref="O13:O14" si="3">IF(M13&lt;N13,M13,N13)</f>
        <v>0</v>
      </c>
      <c r="P13" s="177">
        <f>O13*P$9</f>
        <v>0</v>
      </c>
      <c r="Q13" s="177">
        <f>O13*Q$9</f>
        <v>0</v>
      </c>
      <c r="R13" s="100"/>
      <c r="S13" s="177">
        <f t="shared" ref="S13:S14" si="4">D13-R13</f>
        <v>0</v>
      </c>
      <c r="T13" s="177">
        <f>'Расчетные показатели'!B$5</f>
        <v>595000</v>
      </c>
      <c r="U13" s="177">
        <f t="shared" ref="U13:U14" si="5">MIN(S13,T13)</f>
        <v>0</v>
      </c>
      <c r="V13" s="177">
        <f>U13*V$9</f>
        <v>0</v>
      </c>
      <c r="W13" s="177">
        <f>D13*W$9</f>
        <v>0</v>
      </c>
      <c r="X13" s="192">
        <f>G13*$X$9</f>
        <v>0</v>
      </c>
      <c r="Y13" s="177">
        <f t="shared" ref="Y13:Y14" si="6">K13+P13+Q13+V13+W13+X13</f>
        <v>0</v>
      </c>
    </row>
    <row r="14" spans="1:25" ht="14.45" customHeight="1" x14ac:dyDescent="0.2">
      <c r="A14" s="149">
        <v>3</v>
      </c>
      <c r="B14" s="190"/>
      <c r="C14" s="122"/>
      <c r="D14" s="100"/>
      <c r="E14" s="191"/>
      <c r="F14" s="100"/>
      <c r="G14" s="100">
        <f t="shared" ref="G14" si="7">IF(E14=1,0,D14-F14)</f>
        <v>0</v>
      </c>
      <c r="H14" s="100">
        <f>G14*$H$10</f>
        <v>0</v>
      </c>
      <c r="I14" s="100">
        <f>50*'Расчетные показатели'!B$2</f>
        <v>4250000</v>
      </c>
      <c r="J14" s="100">
        <f>I14*J$10</f>
        <v>424893.75000000006</v>
      </c>
      <c r="K14" s="100">
        <f t="shared" si="2"/>
        <v>0</v>
      </c>
      <c r="L14" s="100"/>
      <c r="M14" s="177">
        <f t="shared" si="1"/>
        <v>0</v>
      </c>
      <c r="N14" s="177">
        <f>10*'Расчетные показатели'!B$2</f>
        <v>850000</v>
      </c>
      <c r="O14" s="177">
        <f t="shared" si="3"/>
        <v>0</v>
      </c>
      <c r="P14" s="177">
        <f>O14*P$9</f>
        <v>0</v>
      </c>
      <c r="Q14" s="177">
        <f>O14*Q$9</f>
        <v>0</v>
      </c>
      <c r="R14" s="100"/>
      <c r="S14" s="177">
        <f t="shared" si="4"/>
        <v>0</v>
      </c>
      <c r="T14" s="177">
        <f>'Расчетные показатели'!B$5</f>
        <v>595000</v>
      </c>
      <c r="U14" s="177">
        <f t="shared" si="5"/>
        <v>0</v>
      </c>
      <c r="V14" s="177">
        <f>U14*V$9</f>
        <v>0</v>
      </c>
      <c r="W14" s="177">
        <f>D14*W$9</f>
        <v>0</v>
      </c>
      <c r="X14" s="192">
        <f>G14*$X$9</f>
        <v>0</v>
      </c>
      <c r="Y14" s="177">
        <f t="shared" si="6"/>
        <v>0</v>
      </c>
    </row>
    <row r="15" spans="1:25" x14ac:dyDescent="0.2">
      <c r="A15" s="193"/>
      <c r="B15" s="120" t="s">
        <v>270</v>
      </c>
      <c r="C15" s="122"/>
      <c r="D15" s="180">
        <f>SUM(D16:D18)</f>
        <v>0</v>
      </c>
      <c r="E15" s="180"/>
      <c r="F15" s="180">
        <f>SUM(F16:F18)</f>
        <v>0</v>
      </c>
      <c r="G15" s="180">
        <f>SUM(G16:G18)</f>
        <v>0</v>
      </c>
      <c r="H15" s="180">
        <f>SUM(H16:H18)</f>
        <v>0</v>
      </c>
      <c r="I15" s="180"/>
      <c r="J15" s="180"/>
      <c r="K15" s="180">
        <f t="shared" ref="K15:Y15" si="8">SUM(K16:K18)</f>
        <v>0</v>
      </c>
      <c r="L15" s="180">
        <f t="shared" si="8"/>
        <v>0</v>
      </c>
      <c r="M15" s="180">
        <f t="shared" si="8"/>
        <v>0</v>
      </c>
      <c r="N15" s="180">
        <f t="shared" si="8"/>
        <v>2550000</v>
      </c>
      <c r="O15" s="180">
        <f t="shared" si="8"/>
        <v>0</v>
      </c>
      <c r="P15" s="180">
        <f t="shared" si="8"/>
        <v>0</v>
      </c>
      <c r="Q15" s="180">
        <f t="shared" si="8"/>
        <v>0</v>
      </c>
      <c r="R15" s="180">
        <f t="shared" si="8"/>
        <v>0</v>
      </c>
      <c r="S15" s="180">
        <f t="shared" si="8"/>
        <v>0</v>
      </c>
      <c r="T15" s="180">
        <f t="shared" si="8"/>
        <v>1785000</v>
      </c>
      <c r="U15" s="180">
        <f t="shared" si="8"/>
        <v>0</v>
      </c>
      <c r="V15" s="180">
        <f t="shared" si="8"/>
        <v>0</v>
      </c>
      <c r="W15" s="180">
        <f t="shared" si="8"/>
        <v>0</v>
      </c>
      <c r="X15" s="180">
        <f t="shared" si="8"/>
        <v>0</v>
      </c>
      <c r="Y15" s="180">
        <f t="shared" si="8"/>
        <v>0</v>
      </c>
    </row>
    <row r="16" spans="1:25" ht="13.9" customHeight="1" x14ac:dyDescent="0.2">
      <c r="A16" s="193">
        <v>1</v>
      </c>
      <c r="B16" s="190"/>
      <c r="C16" s="122"/>
      <c r="D16" s="100"/>
      <c r="E16" s="194"/>
      <c r="F16" s="195"/>
      <c r="G16" s="100">
        <f>IF(E16=1,0,D16-F16)</f>
        <v>0</v>
      </c>
      <c r="H16" s="100">
        <f>G16*$H$10</f>
        <v>0</v>
      </c>
      <c r="I16" s="100">
        <f>50*'Расчетные показатели'!B$2</f>
        <v>4250000</v>
      </c>
      <c r="J16" s="100">
        <f>I16*J$10</f>
        <v>424893.75000000006</v>
      </c>
      <c r="K16" s="100">
        <f>IF(J16&lt;H16,J16,H16)</f>
        <v>0</v>
      </c>
      <c r="L16" s="100"/>
      <c r="M16" s="177">
        <f t="shared" ref="M16:M18" si="9">D16-L16</f>
        <v>0</v>
      </c>
      <c r="N16" s="177">
        <f>10*'Расчетные показатели'!B$2</f>
        <v>850000</v>
      </c>
      <c r="O16" s="177">
        <f>IF(M16&lt;N16,M16,N16)</f>
        <v>0</v>
      </c>
      <c r="P16" s="177">
        <f>O16*P$9</f>
        <v>0</v>
      </c>
      <c r="Q16" s="177">
        <f>O16*Q$9</f>
        <v>0</v>
      </c>
      <c r="R16" s="100"/>
      <c r="S16" s="177">
        <f t="shared" ref="S16:S18" si="10">D16-R16</f>
        <v>0</v>
      </c>
      <c r="T16" s="177">
        <f>'Расчетные показатели'!B$5</f>
        <v>595000</v>
      </c>
      <c r="U16" s="177">
        <f t="shared" ref="U16:U18" si="11">MIN(S16,T16)</f>
        <v>0</v>
      </c>
      <c r="V16" s="177">
        <f>U16*V$9</f>
        <v>0</v>
      </c>
      <c r="W16" s="177">
        <f>D16*W$9</f>
        <v>0</v>
      </c>
      <c r="X16" s="192">
        <f>G16*$X$9</f>
        <v>0</v>
      </c>
      <c r="Y16" s="177">
        <f t="shared" ref="Y16:Y18" si="12">K16+P16+Q16+V16+W16+X16</f>
        <v>0</v>
      </c>
    </row>
    <row r="17" spans="1:25" ht="14.45" customHeight="1" x14ac:dyDescent="0.2">
      <c r="A17" s="193">
        <v>2</v>
      </c>
      <c r="B17" s="190"/>
      <c r="C17" s="122"/>
      <c r="D17" s="100"/>
      <c r="E17" s="191"/>
      <c r="F17" s="100"/>
      <c r="G17" s="100">
        <f>IF(E17=1,0,D17-F17)</f>
        <v>0</v>
      </c>
      <c r="H17" s="100">
        <f>G17*$H$10</f>
        <v>0</v>
      </c>
      <c r="I17" s="100">
        <f>50*'Расчетные показатели'!B$2</f>
        <v>4250000</v>
      </c>
      <c r="J17" s="100">
        <f>I17*J$10</f>
        <v>424893.75000000006</v>
      </c>
      <c r="K17" s="100">
        <f t="shared" ref="K17:K22" si="13">IF(J17&lt;H17,J17,H17)</f>
        <v>0</v>
      </c>
      <c r="L17" s="100"/>
      <c r="M17" s="177">
        <f t="shared" si="9"/>
        <v>0</v>
      </c>
      <c r="N17" s="177">
        <f>10*'Расчетные показатели'!B$2</f>
        <v>850000</v>
      </c>
      <c r="O17" s="177">
        <f t="shared" ref="O17:O18" si="14">IF(M17&lt;N17,M17,N17)</f>
        <v>0</v>
      </c>
      <c r="P17" s="177">
        <f>O17*P$9</f>
        <v>0</v>
      </c>
      <c r="Q17" s="177">
        <f>O17*Q$9</f>
        <v>0</v>
      </c>
      <c r="R17" s="100"/>
      <c r="S17" s="177">
        <f t="shared" si="10"/>
        <v>0</v>
      </c>
      <c r="T17" s="177">
        <f>'Расчетные показатели'!B$5</f>
        <v>595000</v>
      </c>
      <c r="U17" s="177">
        <f t="shared" si="11"/>
        <v>0</v>
      </c>
      <c r="V17" s="177">
        <f>U17*V$9</f>
        <v>0</v>
      </c>
      <c r="W17" s="177">
        <f>D17*W$9</f>
        <v>0</v>
      </c>
      <c r="X17" s="192">
        <f>G17*$X$9</f>
        <v>0</v>
      </c>
      <c r="Y17" s="177">
        <f t="shared" si="12"/>
        <v>0</v>
      </c>
    </row>
    <row r="18" spans="1:25" ht="14.45" customHeight="1" x14ac:dyDescent="0.2">
      <c r="A18" s="193">
        <v>3</v>
      </c>
      <c r="B18" s="190"/>
      <c r="C18" s="122"/>
      <c r="D18" s="100"/>
      <c r="E18" s="196"/>
      <c r="F18" s="100"/>
      <c r="G18" s="100">
        <f t="shared" ref="G18" si="15">IF(E18=1,0,D18-F18)</f>
        <v>0</v>
      </c>
      <c r="H18" s="100">
        <f>G18*$H$10</f>
        <v>0</v>
      </c>
      <c r="I18" s="100">
        <f>50*'Расчетные показатели'!B$2</f>
        <v>4250000</v>
      </c>
      <c r="J18" s="100">
        <f>I18*J$10</f>
        <v>424893.75000000006</v>
      </c>
      <c r="K18" s="100">
        <f>IF(J18&lt;H18,J18,H18)</f>
        <v>0</v>
      </c>
      <c r="L18" s="100"/>
      <c r="M18" s="177">
        <f t="shared" si="9"/>
        <v>0</v>
      </c>
      <c r="N18" s="177">
        <f>10*'Расчетные показатели'!B$2</f>
        <v>850000</v>
      </c>
      <c r="O18" s="177">
        <f t="shared" si="14"/>
        <v>0</v>
      </c>
      <c r="P18" s="177">
        <f>O18*P$9</f>
        <v>0</v>
      </c>
      <c r="Q18" s="177">
        <f>O18*Q$9</f>
        <v>0</v>
      </c>
      <c r="R18" s="100"/>
      <c r="S18" s="177">
        <f t="shared" si="10"/>
        <v>0</v>
      </c>
      <c r="T18" s="177">
        <f>'Расчетные показатели'!B$5</f>
        <v>595000</v>
      </c>
      <c r="U18" s="177">
        <f t="shared" si="11"/>
        <v>0</v>
      </c>
      <c r="V18" s="177">
        <f>U18*V$9</f>
        <v>0</v>
      </c>
      <c r="W18" s="177">
        <f>D18*W$9</f>
        <v>0</v>
      </c>
      <c r="X18" s="192">
        <f>G18*$X$9</f>
        <v>0</v>
      </c>
      <c r="Y18" s="177">
        <f t="shared" si="12"/>
        <v>0</v>
      </c>
    </row>
    <row r="19" spans="1:25" x14ac:dyDescent="0.2">
      <c r="A19" s="193"/>
      <c r="B19" s="120" t="s">
        <v>271</v>
      </c>
      <c r="C19" s="122"/>
      <c r="D19" s="180">
        <f>SUM(D20:D22)</f>
        <v>0</v>
      </c>
      <c r="E19" s="180"/>
      <c r="F19" s="180">
        <f>SUM(F20:F22)</f>
        <v>0</v>
      </c>
      <c r="G19" s="180">
        <f>SUM(G20:G22)</f>
        <v>0</v>
      </c>
      <c r="H19" s="180">
        <f>SUM(H20:H22)</f>
        <v>0</v>
      </c>
      <c r="I19" s="180"/>
      <c r="J19" s="180"/>
      <c r="K19" s="180">
        <f t="shared" ref="K19:Y19" si="16">SUM(K20:K22)</f>
        <v>0</v>
      </c>
      <c r="L19" s="180">
        <f t="shared" si="16"/>
        <v>0</v>
      </c>
      <c r="M19" s="180">
        <f t="shared" si="16"/>
        <v>0</v>
      </c>
      <c r="N19" s="180">
        <f t="shared" si="16"/>
        <v>2550000</v>
      </c>
      <c r="O19" s="180">
        <f t="shared" si="16"/>
        <v>0</v>
      </c>
      <c r="P19" s="180">
        <f t="shared" si="16"/>
        <v>0</v>
      </c>
      <c r="Q19" s="180">
        <f t="shared" si="16"/>
        <v>0</v>
      </c>
      <c r="R19" s="180">
        <f t="shared" si="16"/>
        <v>0</v>
      </c>
      <c r="S19" s="180">
        <f t="shared" si="16"/>
        <v>0</v>
      </c>
      <c r="T19" s="180">
        <f t="shared" si="16"/>
        <v>1785000</v>
      </c>
      <c r="U19" s="180">
        <f t="shared" si="16"/>
        <v>0</v>
      </c>
      <c r="V19" s="180">
        <f t="shared" si="16"/>
        <v>0</v>
      </c>
      <c r="W19" s="180">
        <f t="shared" si="16"/>
        <v>0</v>
      </c>
      <c r="X19" s="180">
        <f t="shared" si="16"/>
        <v>0</v>
      </c>
      <c r="Y19" s="180">
        <f t="shared" si="16"/>
        <v>0</v>
      </c>
    </row>
    <row r="20" spans="1:25" x14ac:dyDescent="0.2">
      <c r="A20" s="149">
        <v>1</v>
      </c>
      <c r="B20" s="190"/>
      <c r="C20" s="122"/>
      <c r="D20" s="100"/>
      <c r="E20" s="194"/>
      <c r="F20" s="195"/>
      <c r="G20" s="100">
        <f>IF(E20=1,0,D20-F20)</f>
        <v>0</v>
      </c>
      <c r="H20" s="100">
        <f>G20*$H$10</f>
        <v>0</v>
      </c>
      <c r="I20" s="100">
        <f>50*'Расчетные показатели'!B$2</f>
        <v>4250000</v>
      </c>
      <c r="J20" s="100">
        <f>I20*J$10</f>
        <v>424893.75000000006</v>
      </c>
      <c r="K20" s="100">
        <f t="shared" si="13"/>
        <v>0</v>
      </c>
      <c r="L20" s="100"/>
      <c r="M20" s="177">
        <f t="shared" ref="M20:M22" si="17">D20-L20</f>
        <v>0</v>
      </c>
      <c r="N20" s="177">
        <f>10*'Расчетные показатели'!B$2</f>
        <v>850000</v>
      </c>
      <c r="O20" s="177">
        <f>IF(M20&lt;N20,M20,N20)</f>
        <v>0</v>
      </c>
      <c r="P20" s="177">
        <f>O20*P$9</f>
        <v>0</v>
      </c>
      <c r="Q20" s="177">
        <f>O20*Q$9</f>
        <v>0</v>
      </c>
      <c r="R20" s="100"/>
      <c r="S20" s="177">
        <f t="shared" ref="S20:S22" si="18">D20-R20</f>
        <v>0</v>
      </c>
      <c r="T20" s="177">
        <f>'Расчетные показатели'!B$5</f>
        <v>595000</v>
      </c>
      <c r="U20" s="177">
        <f t="shared" ref="U20:U22" si="19">MIN(S20,T20)</f>
        <v>0</v>
      </c>
      <c r="V20" s="177">
        <f>U20*V$9</f>
        <v>0</v>
      </c>
      <c r="W20" s="177">
        <f>D20*W$9</f>
        <v>0</v>
      </c>
      <c r="X20" s="192">
        <f>G20*$X$9</f>
        <v>0</v>
      </c>
      <c r="Y20" s="177">
        <f t="shared" ref="Y20:Y22" si="20">K20+P20+Q20+V20+W20+X20</f>
        <v>0</v>
      </c>
    </row>
    <row r="21" spans="1:25" x14ac:dyDescent="0.2">
      <c r="A21" s="193">
        <v>2</v>
      </c>
      <c r="B21" s="190"/>
      <c r="C21" s="122"/>
      <c r="D21" s="100"/>
      <c r="E21" s="191"/>
      <c r="F21" s="100"/>
      <c r="G21" s="100">
        <f>IF(E21=1,0,D21-F21)</f>
        <v>0</v>
      </c>
      <c r="H21" s="100">
        <f>G21*$H$10</f>
        <v>0</v>
      </c>
      <c r="I21" s="100">
        <f>50*'Расчетные показатели'!B$2</f>
        <v>4250000</v>
      </c>
      <c r="J21" s="100">
        <f>I21*J$10</f>
        <v>424893.75000000006</v>
      </c>
      <c r="K21" s="100">
        <f>IF(J21&lt;H21,J21,H21)</f>
        <v>0</v>
      </c>
      <c r="L21" s="100"/>
      <c r="M21" s="177">
        <f t="shared" si="17"/>
        <v>0</v>
      </c>
      <c r="N21" s="177">
        <f>10*'Расчетные показатели'!B$2</f>
        <v>850000</v>
      </c>
      <c r="O21" s="177">
        <f t="shared" ref="O21" si="21">IF(M21&lt;N21,M21,N21)</f>
        <v>0</v>
      </c>
      <c r="P21" s="177">
        <f>O21*P$9</f>
        <v>0</v>
      </c>
      <c r="Q21" s="177">
        <f>O21*Q$9</f>
        <v>0</v>
      </c>
      <c r="R21" s="100"/>
      <c r="S21" s="177">
        <f t="shared" si="18"/>
        <v>0</v>
      </c>
      <c r="T21" s="177">
        <f>'Расчетные показатели'!B$5</f>
        <v>595000</v>
      </c>
      <c r="U21" s="177">
        <f t="shared" si="19"/>
        <v>0</v>
      </c>
      <c r="V21" s="177">
        <f>U21*V$9</f>
        <v>0</v>
      </c>
      <c r="W21" s="177">
        <f>D21*W$9</f>
        <v>0</v>
      </c>
      <c r="X21" s="192">
        <f>G21*$X$9</f>
        <v>0</v>
      </c>
      <c r="Y21" s="177">
        <f t="shared" si="20"/>
        <v>0</v>
      </c>
    </row>
    <row r="22" spans="1:25" x14ac:dyDescent="0.2">
      <c r="A22" s="149">
        <v>3</v>
      </c>
      <c r="B22" s="190"/>
      <c r="C22" s="122"/>
      <c r="D22" s="100"/>
      <c r="E22" s="196"/>
      <c r="F22" s="100"/>
      <c r="G22" s="100">
        <f t="shared" ref="G22" si="22">IF(E22=1,0,D22-F22)</f>
        <v>0</v>
      </c>
      <c r="H22" s="100">
        <f>G22*$H$10</f>
        <v>0</v>
      </c>
      <c r="I22" s="100">
        <f>50*'Расчетные показатели'!B$2</f>
        <v>4250000</v>
      </c>
      <c r="J22" s="100">
        <f>I22*J$10</f>
        <v>424893.75000000006</v>
      </c>
      <c r="K22" s="100">
        <f t="shared" si="13"/>
        <v>0</v>
      </c>
      <c r="L22" s="100"/>
      <c r="M22" s="177">
        <f t="shared" si="17"/>
        <v>0</v>
      </c>
      <c r="N22" s="177">
        <f>10*'Расчетные показатели'!B$2</f>
        <v>850000</v>
      </c>
      <c r="O22" s="177">
        <f>IF(M22&lt;N22,M22,N22)</f>
        <v>0</v>
      </c>
      <c r="P22" s="177">
        <f>O22*P$9</f>
        <v>0</v>
      </c>
      <c r="Q22" s="177">
        <f>O22*Q$9</f>
        <v>0</v>
      </c>
      <c r="R22" s="100"/>
      <c r="S22" s="177">
        <f t="shared" si="18"/>
        <v>0</v>
      </c>
      <c r="T22" s="177">
        <f>'Расчетные показатели'!B$5</f>
        <v>595000</v>
      </c>
      <c r="U22" s="177">
        <f t="shared" si="19"/>
        <v>0</v>
      </c>
      <c r="V22" s="177">
        <f>U22*V$9</f>
        <v>0</v>
      </c>
      <c r="W22" s="177">
        <f>D22*W$9</f>
        <v>0</v>
      </c>
      <c r="X22" s="192">
        <f>G22*$X$9</f>
        <v>0</v>
      </c>
      <c r="Y22" s="177">
        <f t="shared" si="20"/>
        <v>0</v>
      </c>
    </row>
    <row r="23" spans="1:25" ht="13.5" thickBot="1" x14ac:dyDescent="0.25">
      <c r="A23" s="123"/>
      <c r="B23" s="124" t="s">
        <v>275</v>
      </c>
      <c r="C23" s="124"/>
      <c r="D23" s="125">
        <f>D19+D15+D11</f>
        <v>0</v>
      </c>
      <c r="E23" s="198"/>
      <c r="F23" s="125">
        <f t="shared" ref="F23:K23" si="23">F19+F15+F11</f>
        <v>0</v>
      </c>
      <c r="G23" s="125">
        <f t="shared" si="23"/>
        <v>0</v>
      </c>
      <c r="H23" s="125">
        <f t="shared" si="23"/>
        <v>0</v>
      </c>
      <c r="I23" s="125">
        <f t="shared" si="23"/>
        <v>0</v>
      </c>
      <c r="J23" s="125">
        <f t="shared" si="23"/>
        <v>0</v>
      </c>
      <c r="K23" s="125">
        <f t="shared" si="23"/>
        <v>0</v>
      </c>
      <c r="L23" s="125">
        <f>L19</f>
        <v>0</v>
      </c>
      <c r="M23" s="125">
        <f t="shared" ref="M23:Y23" si="24">M19+M15+M11</f>
        <v>0</v>
      </c>
      <c r="N23" s="125">
        <f t="shared" si="24"/>
        <v>7650000</v>
      </c>
      <c r="O23" s="125">
        <f t="shared" si="24"/>
        <v>0</v>
      </c>
      <c r="P23" s="125">
        <f t="shared" si="24"/>
        <v>0</v>
      </c>
      <c r="Q23" s="125">
        <f t="shared" si="24"/>
        <v>0</v>
      </c>
      <c r="R23" s="125">
        <f t="shared" si="24"/>
        <v>0</v>
      </c>
      <c r="S23" s="125">
        <f t="shared" si="24"/>
        <v>0</v>
      </c>
      <c r="T23" s="125">
        <f t="shared" si="24"/>
        <v>5355000</v>
      </c>
      <c r="U23" s="125">
        <f t="shared" si="24"/>
        <v>0</v>
      </c>
      <c r="V23" s="125">
        <f t="shared" si="24"/>
        <v>0</v>
      </c>
      <c r="W23" s="125">
        <f t="shared" si="24"/>
        <v>0</v>
      </c>
      <c r="X23" s="125">
        <f t="shared" si="24"/>
        <v>0</v>
      </c>
      <c r="Y23" s="125">
        <f t="shared" si="24"/>
        <v>0</v>
      </c>
    </row>
    <row r="24" spans="1:25" x14ac:dyDescent="0.2">
      <c r="A24" s="199"/>
      <c r="B24" s="199"/>
      <c r="C24" s="199"/>
      <c r="D24" s="199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</row>
    <row r="25" spans="1:25" x14ac:dyDescent="0.2">
      <c r="A25" s="199"/>
      <c r="B25" s="199"/>
      <c r="C25" s="199"/>
      <c r="D25" s="199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</row>
    <row r="26" spans="1:25" x14ac:dyDescent="0.2">
      <c r="A26" s="126" t="s">
        <v>96</v>
      </c>
      <c r="B26" s="127"/>
      <c r="C26" s="128"/>
      <c r="E26" s="129"/>
      <c r="F26" s="129"/>
    </row>
    <row r="27" spans="1:25" x14ac:dyDescent="0.2">
      <c r="A27" s="126" t="s">
        <v>97</v>
      </c>
      <c r="B27" s="109"/>
      <c r="C27" s="128"/>
    </row>
    <row r="28" spans="1:25" x14ac:dyDescent="0.2">
      <c r="A28" s="109"/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25" x14ac:dyDescent="0.2">
      <c r="A29" s="109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</row>
    <row r="30" spans="1:25" x14ac:dyDescent="0.2">
      <c r="A30" s="109"/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</row>
    <row r="31" spans="1:25" x14ac:dyDescent="0.2">
      <c r="A31" s="109"/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</row>
    <row r="32" spans="1:25" x14ac:dyDescent="0.2">
      <c r="A32" s="109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</row>
    <row r="33" spans="1:15" x14ac:dyDescent="0.2">
      <c r="A33" s="109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</row>
    <row r="34" spans="1:15" x14ac:dyDescent="0.2">
      <c r="A34" s="109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</row>
    <row r="35" spans="1:15" x14ac:dyDescent="0.2">
      <c r="A35" s="109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</row>
    <row r="36" spans="1:15" x14ac:dyDescent="0.2">
      <c r="A36" s="109"/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</row>
    <row r="37" spans="1:15" x14ac:dyDescent="0.2">
      <c r="A37" s="109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</row>
    <row r="38" spans="1:15" x14ac:dyDescent="0.2">
      <c r="A38" s="109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</row>
    <row r="39" spans="1:15" x14ac:dyDescent="0.2">
      <c r="A39" s="109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</row>
    <row r="40" spans="1:15" x14ac:dyDescent="0.2">
      <c r="A40" s="109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</row>
    <row r="41" spans="1:15" x14ac:dyDescent="0.2">
      <c r="A41" s="109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</row>
    <row r="42" spans="1:15" x14ac:dyDescent="0.2">
      <c r="A42" s="109"/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</row>
    <row r="43" spans="1:15" x14ac:dyDescent="0.2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</row>
    <row r="44" spans="1:15" x14ac:dyDescent="0.2">
      <c r="A44" s="109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</row>
    <row r="45" spans="1:15" x14ac:dyDescent="0.2">
      <c r="A45" s="109"/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</row>
    <row r="46" spans="1:15" x14ac:dyDescent="0.2">
      <c r="A46" s="109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</row>
    <row r="47" spans="1:15" x14ac:dyDescent="0.2">
      <c r="A47" s="109"/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</row>
    <row r="48" spans="1:15" x14ac:dyDescent="0.2">
      <c r="A48" s="109"/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</row>
  </sheetData>
  <mergeCells count="3">
    <mergeCell ref="G1:I1"/>
    <mergeCell ref="G2:I2"/>
    <mergeCell ref="G4:I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Расчетные показатели</vt:lpstr>
      <vt:lpstr>200.00 </vt:lpstr>
      <vt:lpstr>200.01</vt:lpstr>
      <vt:lpstr>Расчет ОПВ</vt:lpstr>
      <vt:lpstr>Расчет ИПН</vt:lpstr>
      <vt:lpstr>Расчет СО и ОСМС</vt:lpstr>
      <vt:lpstr>Расчет СН</vt:lpstr>
      <vt:lpstr>Договора ГПХ</vt:lpstr>
      <vt:lpstr>Единый платеж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Чарлина Инга</dc:creator>
  <cp:lastModifiedBy>Дарья</cp:lastModifiedBy>
  <cp:lastPrinted>2016-08-07T11:13:31Z</cp:lastPrinted>
  <dcterms:created xsi:type="dcterms:W3CDTF">2016-08-05T02:24:44Z</dcterms:created>
  <dcterms:modified xsi:type="dcterms:W3CDTF">2024-05-16T07:00:11Z</dcterms:modified>
</cp:coreProperties>
</file>